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stoque Central" sheetId="2" state="visible" r:id="rId2"/>
    <sheet xmlns:r="http://schemas.openxmlformats.org/officeDocument/2006/relationships" name="Conciliação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22222"/>
      <sz val="10"/>
    </font>
    <font>
      <name val="Aptos"/>
      <b val="1"/>
      <color rgb="00FFFFFF"/>
      <sz val="10"/>
    </font>
    <font>
      <name val="Aptos Display"/>
      <b val="1"/>
      <color rgb="0017372E"/>
      <sz val="15"/>
    </font>
    <font>
      <name val="Aptos"/>
      <color rgb="00222222"/>
      <sz val="10"/>
    </font>
    <font>
      <name val="Aptos"/>
      <b val="1"/>
      <color rgb="0017372E"/>
      <sz val="11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E7E7E7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/>
    </xf>
    <xf numFmtId="0" fontId="3" fillId="5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4" borderId="1" applyAlignment="1" pivotButton="0" quotePrefix="0" xfId="0">
      <alignment horizontal="left" vertical="center"/>
    </xf>
    <xf numFmtId="9" fontId="5" fillId="4" borderId="1" applyAlignment="1" pivotButton="0" quotePrefix="0" xfId="0">
      <alignment horizontal="center" vertical="center"/>
    </xf>
    <xf numFmtId="0" fontId="2" fillId="3" borderId="1" pivotButton="0" quotePrefix="0" xfId="0"/>
    <xf numFmtId="9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9" fontId="5" fillId="7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8">
    <dxf>
      <fill>
        <patternFill patternType="solid">
          <fgColor rgb="00F4CCCC"/>
        </patternFill>
      </fill>
    </dxf>
    <dxf>
      <fill>
        <patternFill patternType="solid">
          <fgColor rgb="00B4C7E7"/>
        </patternFill>
      </fill>
    </dxf>
    <dxf>
      <fill>
        <patternFill patternType="solid">
          <fgColor rgb="00F4B183"/>
        </patternFill>
      </fill>
    </dxf>
    <dxf>
      <font>
        <name val="Aptos"/>
        <b val="1"/>
        <color rgb="00666666"/>
        <sz val="10"/>
      </font>
      <fill>
        <patternFill patternType="solid">
          <fgColor rgb="00D9E1E8"/>
        </patternFill>
      </fill>
    </dxf>
    <dxf>
      <fill>
        <patternFill patternType="solid">
          <fgColor rgb="00C6E0B4"/>
        </patternFill>
      </fill>
    </dxf>
    <dxf>
      <fill>
        <patternFill patternType="solid">
          <fgColor rgb="00D9E1E8"/>
        </patternFill>
      </fill>
    </dxf>
    <dxf>
      <font>
        <name val="Aptos"/>
        <b val="1"/>
        <color rgb="00FFFFFF"/>
        <sz val="10"/>
      </font>
      <fill>
        <patternFill patternType="solid">
          <fgColor rgb="008B1E1E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para sincronizar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5B8FB9"/>
            </a:solidFill>
            <a:ln xmlns:a="http://schemas.openxmlformats.org/drawingml/2006/main">
              <a:solidFill>
                <a:srgbClr val="5B8FB9"/>
              </a:solidFill>
              <a:prstDash val="solid"/>
            </a:ln>
          </spPr>
          <cat>
            <numRef>
              <f>'Resumo'!$A$14:$A$23</f>
            </numRef>
          </cat>
          <val>
            <numRef>
              <f>'Resumo'!$B$14:$B$23</f>
            </numRef>
          </val>
        </ser>
        <ser>
          <idx val="1"/>
          <order val="1"/>
          <tx>
            <strRef>
              <f>'Resumo'!C13</f>
            </strRef>
          </tx>
          <spPr>
            <a:solidFill xmlns:a="http://schemas.openxmlformats.org/drawingml/2006/main">
              <a:srgbClr val="B7473A"/>
            </a:solidFill>
            <a:ln xmlns:a="http://schemas.openxmlformats.org/drawingml/2006/main">
              <a:solidFill>
                <a:srgbClr val="B7473A"/>
              </a:solidFill>
              <a:prstDash val="solid"/>
            </a:ln>
          </spPr>
          <cat>
            <numRef>
              <f>'Resumo'!$A$14:$A$23</f>
            </numRef>
          </cat>
          <val>
            <numRef>
              <f>'Resumo'!$C$14:$C$23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Classificação do risco de overselling</a:t>
            </a:r>
          </a:p>
        </rich>
      </tx>
    </title>
    <plotArea>
      <doughnutChart>
        <varyColors val="1"/>
        <ser>
          <idx val="0"/>
          <order val="0"/>
          <tx>
            <strRef>
              <f>'Resumo'!G13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'Resumo'!$F$14:$F$17</f>
            </numRef>
          </cat>
          <val>
            <numRef>
              <f>'Resumo'!$G$14:$G$17</f>
            </numRef>
          </val>
        </ser>
        <dLbls>
          <showCatName val="1"/>
          <showPercent val="1"/>
          <showLeaderLines val="1"/>
        </dLbls>
        <firstSliceAng val="0"/>
        <holeSize val="55"/>
      </doughnutChart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Equipe de operações fictícia</author>
  </authors>
  <commentList>
    <comment ref="E5" authorId="0" shapeId="0">
      <text>
        <t>Informe somente reservas internas ainda não representadas nos pedidos pendentes da aba Conciliação.</t>
      </text>
    </comment>
    <comment ref="F5" authorId="0" shapeId="0">
      <text>
        <t>Se ficar em branco, será utilizado o estoque de segurança padrão definido em Configurações.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23</row>
      <rowOff>0</rowOff>
    </from>
    <ext cx="37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stoque" displayName="tblEstoque" ref="A5:M205" headerRowCount="1">
  <autoFilter ref="A5:M205"/>
  <tableColumns count="13">
    <tableColumn id="1" name="SKU"/>
    <tableColumn id="2" name="Produto"/>
    <tableColumn id="3" name="Status do SKU"/>
    <tableColumn id="4" name="Saldo físico"/>
    <tableColumn id="5" name="Reservas"/>
    <tableColumn id="6" name="Estoque de segurança"/>
    <tableColumn id="7" name="Última atualização"/>
    <tableColumn id="8" name="Pedidos pendentes"/>
    <tableColumn id="9" name="Disponível global"/>
    <tableColumn id="10" name="Saldo publicado total"/>
    <tableColumn id="11" name="Exposição excedente"/>
    <tableColumn id="12" name="Alerta do SKU"/>
    <tableColumn id="13" name="Checagem"/>
  </tableColumns>
  <tableStyleInfo name="TableStyleMedium4" showFirstColumn="0" showLastColumn="0" showRowStripes="0" showColumnStripes="0"/>
</table>
</file>

<file path=xl/tables/table2.xml><?xml version="1.0" encoding="utf-8"?>
<table xmlns="http://schemas.openxmlformats.org/spreadsheetml/2006/main" id="2" name="tblConciliacao" displayName="tblConciliacao" ref="A5:S305" headerRowCount="1">
  <autoFilter ref="A5:S305"/>
  <tableColumns count="19">
    <tableColumn id="1" name="ID do registro"/>
    <tableColumn id="2" name="SKU"/>
    <tableColumn id="3" name="Produto"/>
    <tableColumn id="4" name="Status do SKU"/>
    <tableColumn id="5" name="Canal"/>
    <tableColumn id="6" name="Saldo publicado"/>
    <tableColumn id="7" name="Pedidos pendentes"/>
    <tableColumn id="8" name="Canal ativo"/>
    <tableColumn id="9" name="Alocação do canal"/>
    <tableColumn id="10" name="Máximo por SKU"/>
    <tableColumn id="11" name="Limiar crítico"/>
    <tableColumn id="12" name="Disponível global"/>
    <tableColumn id="13" name="Saldo publicável"/>
    <tableColumn id="14" name="Diferença"/>
    <tableColumn id="15" name="Ação de sincronização"/>
    <tableColumn id="16" name="Risco de overselling"/>
    <tableColumn id="17" name="Prioridade"/>
    <tableColumn id="18" name="Última conferência"/>
    <tableColumn id="19" name="Checagem"/>
  </tableColumns>
  <tableStyleInfo name="TableStyleMedium4" showFirstColumn="0" showLastColumn="0" showRowStripes="0" showColumnStripes="0"/>
</table>
</file>

<file path=xl/tables/table3.xml><?xml version="1.0" encoding="utf-8"?>
<table xmlns="http://schemas.openxmlformats.org/spreadsheetml/2006/main" id="3" name="tblCanais" displayName="tblCanais" ref="A10:F20" headerRowCount="1">
  <autoFilter ref="A10:F20"/>
  <tableColumns count="6">
    <tableColumn id="1" name="Canal"/>
    <tableColumn id="2" name="Ativo"/>
    <tableColumn id="3" name="Alocação"/>
    <tableColumn id="4" name="Máximo publicado por SKU"/>
    <tableColumn id="5" name="Limiar crítico"/>
    <tableColumn id="6" name="Checagem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K47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22" customWidth="1" min="4" max="4"/>
    <col width="14" customWidth="1" min="5" max="5"/>
    <col width="19" customWidth="1" min="6" max="6"/>
    <col width="17" customWidth="1" min="7" max="7"/>
    <col width="14" customWidth="1" min="8" max="8"/>
    <col width="3" customWidth="1" min="9" max="9"/>
    <col width="25" customWidth="1" min="10" max="10"/>
    <col width="14" customWidth="1" min="11" max="11"/>
  </cols>
  <sheetData>
    <row r="1" ht="27" customHeight="1">
      <c r="A1" s="1" t="inlineStr">
        <is>
          <t>Controle de Estoque Multicanal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40" t="n"/>
    </row>
    <row r="2"/>
    <row r="3">
      <c r="A3" s="3" t="inlineStr">
        <is>
          <t>Data de referência</t>
        </is>
      </c>
      <c r="B3" s="4">
        <f>'Configurações'!$B$5</f>
        <v/>
      </c>
    </row>
    <row r="4"/>
    <row r="5">
      <c r="A5" s="5" t="inlineStr">
        <is>
          <t>SKUs ativos válidos</t>
        </is>
      </c>
      <c r="B5" s="6">
        <f>COUNTIFS('Estoque Central'!$A$6:$A$205,"&lt;&gt;",'Estoque Central'!$C$6:$C$205,"Ativo",'Estoque Central'!$M$6:$M$205,"OK")</f>
        <v/>
      </c>
      <c r="D5" s="5" t="inlineStr">
        <is>
          <t>Saldo físico total</t>
        </is>
      </c>
      <c r="E5" s="6">
        <f>IFERROR(SUMIFS('Estoque Central'!$D$6:$D$205,'Estoque Central'!$C$6:$C$205,"Ativo",'Estoque Central'!$M$6:$M$205,"OK"),0)</f>
        <v/>
      </c>
      <c r="G5" s="5" t="inlineStr">
        <is>
          <t>Disponível global</t>
        </is>
      </c>
      <c r="H5" s="6">
        <f>IFERROR(SUMIFS('Estoque Central'!$I$6:$I$205,'Estoque Central'!$C$6:$C$205,"Ativo",'Estoque Central'!$M$6:$M$205,"OK"),0)</f>
        <v/>
      </c>
      <c r="J5" s="5" t="inlineStr">
        <is>
          <t>Publicações para sincronizar</t>
        </is>
      </c>
      <c r="K5" s="6">
        <f>COUNTIF('Conciliação'!$O$6:$O$305,"AUMENTAR")+COUNTIF('Conciliação'!$O$6:$O$305,"REDUZIR")</f>
        <v/>
      </c>
    </row>
    <row r="6"/>
    <row r="7"/>
    <row r="8">
      <c r="A8" s="5" t="inlineStr">
        <is>
          <t>Linhas com risco alto</t>
        </is>
      </c>
      <c r="B8" s="6">
        <f>COUNTIFS('Conciliação'!$P$6:$P$305,"ALTO",'Conciliação'!$S$6:$S$305,"OK")</f>
        <v/>
      </c>
      <c r="D8" s="5" t="inlineStr">
        <is>
          <t>Unidades a reduzir</t>
        </is>
      </c>
      <c r="E8" s="6">
        <f>IFERROR(-SUMIFS('Conciliação'!$N$6:$N$305,'Conciliação'!$N$6:$N$305,"&lt;0",'Conciliação'!$S$6:$S$305,"OK"),0)</f>
        <v/>
      </c>
      <c r="G8" s="5" t="inlineStr">
        <is>
          <t>Unidades a aumentar</t>
        </is>
      </c>
      <c r="H8" s="6">
        <f>IFERROR(SUMIFS('Conciliação'!$N$6:$N$305,'Conciliação'!$N$6:$N$305,"&gt;0",'Conciliação'!$S$6:$S$305,"OK"),0)</f>
        <v/>
      </c>
      <c r="J8" s="5" t="inlineStr">
        <is>
          <t>Cadastros a revisar</t>
        </is>
      </c>
      <c r="K8" s="6">
        <f>COUNTIFS('Conciliação'!$S$6:$S$305,"&lt;&gt;",'Conciliação'!$S$6:$S$305,"&lt;&gt;OK")</f>
        <v/>
      </c>
    </row>
    <row r="9"/>
    <row r="10"/>
    <row r="11"/>
    <row r="12">
      <c r="A12" s="7" t="inlineStr">
        <is>
          <t>Resumo por canal</t>
        </is>
      </c>
      <c r="F12" s="7" t="inlineStr">
        <is>
          <t>Resumo de risco</t>
        </is>
      </c>
    </row>
    <row r="13">
      <c r="A13" s="8" t="inlineStr">
        <is>
          <t>Canal</t>
        </is>
      </c>
      <c r="B13" s="8" t="inlineStr">
        <is>
          <t>Unidades a aumentar</t>
        </is>
      </c>
      <c r="C13" s="8" t="inlineStr">
        <is>
          <t>Unidades a reduzir</t>
        </is>
      </c>
      <c r="D13" s="8" t="inlineStr">
        <is>
          <t>Linhas para sincronizar</t>
        </is>
      </c>
      <c r="F13" s="9" t="inlineStr">
        <is>
          <t>Classificação</t>
        </is>
      </c>
      <c r="G13" s="9" t="inlineStr">
        <is>
          <t>Quantidade</t>
        </is>
      </c>
    </row>
    <row r="14">
      <c r="A14" s="10">
        <f>'Configurações'!A11</f>
        <v/>
      </c>
      <c r="B14" s="11">
        <f>IF($A14="","",SUMIFS('Conciliação'!$N$6:$N$305,'Conciliação'!$E$6:$E$305,$A14,'Conciliação'!$N$6:$N$305,"&gt;0",'Conciliação'!$S$6:$S$305,"OK"))</f>
        <v/>
      </c>
      <c r="C14" s="11">
        <f>IF($A14="","",-SUMIFS('Conciliação'!$N$6:$N$305,'Conciliação'!$E$6:$E$305,$A14,'Conciliação'!$N$6:$N$305,"&lt;0",'Conciliação'!$S$6:$S$305,"OK"))</f>
        <v/>
      </c>
      <c r="D14" s="11">
        <f>IF($A14="","",COUNTIFS('Conciliação'!$E$6:$E$305,$A14,'Conciliação'!$O$6:$O$305,"AUMENTAR")+COUNTIFS('Conciliação'!$E$6:$E$305,$A14,'Conciliação'!$O$6:$O$305,"REDUZIR"))</f>
        <v/>
      </c>
      <c r="F14" s="12" t="inlineStr">
        <is>
          <t>ALTO</t>
        </is>
      </c>
      <c r="G14" s="13">
        <f>COUNTIFS('Conciliação'!$P$6:$P$305,$F14,'Conciliação'!$S$6:$S$305,"OK")</f>
        <v/>
      </c>
    </row>
    <row r="15">
      <c r="A15" s="14">
        <f>'Configurações'!A12</f>
        <v/>
      </c>
      <c r="B15" s="15">
        <f>IF($A15="","",SUMIFS('Conciliação'!$N$6:$N$305,'Conciliação'!$E$6:$E$305,$A15,'Conciliação'!$N$6:$N$305,"&gt;0",'Conciliação'!$S$6:$S$305,"OK"))</f>
        <v/>
      </c>
      <c r="C15" s="15">
        <f>IF($A15="","",-SUMIFS('Conciliação'!$N$6:$N$305,'Conciliação'!$E$6:$E$305,$A15,'Conciliação'!$N$6:$N$305,"&lt;0",'Conciliação'!$S$6:$S$305,"OK"))</f>
        <v/>
      </c>
      <c r="D15" s="15">
        <f>IF($A15="","",COUNTIFS('Conciliação'!$E$6:$E$305,$A15,'Conciliação'!$O$6:$O$305,"AUMENTAR")+COUNTIFS('Conciliação'!$E$6:$E$305,$A15,'Conciliação'!$O$6:$O$305,"REDUZIR"))</f>
        <v/>
      </c>
      <c r="F15" s="16" t="inlineStr">
        <is>
          <t>MÉDIO</t>
        </is>
      </c>
      <c r="G15" s="17">
        <f>COUNTIFS('Conciliação'!$P$6:$P$305,$F15,'Conciliação'!$S$6:$S$305,"OK")</f>
        <v/>
      </c>
    </row>
    <row r="16">
      <c r="A16" s="10">
        <f>'Configurações'!A13</f>
        <v/>
      </c>
      <c r="B16" s="11">
        <f>IF($A16="","",SUMIFS('Conciliação'!$N$6:$N$305,'Conciliação'!$E$6:$E$305,$A16,'Conciliação'!$N$6:$N$305,"&gt;0",'Conciliação'!$S$6:$S$305,"OK"))</f>
        <v/>
      </c>
      <c r="C16" s="11">
        <f>IF($A16="","",-SUMIFS('Conciliação'!$N$6:$N$305,'Conciliação'!$E$6:$E$305,$A16,'Conciliação'!$N$6:$N$305,"&lt;0",'Conciliação'!$S$6:$S$305,"OK"))</f>
        <v/>
      </c>
      <c r="D16" s="11">
        <f>IF($A16="","",COUNTIFS('Conciliação'!$E$6:$E$305,$A16,'Conciliação'!$O$6:$O$305,"AUMENTAR")+COUNTIFS('Conciliação'!$E$6:$E$305,$A16,'Conciliação'!$O$6:$O$305,"REDUZIR"))</f>
        <v/>
      </c>
      <c r="F16" s="12" t="inlineStr">
        <is>
          <t>BAIXO</t>
        </is>
      </c>
      <c r="G16" s="13">
        <f>COUNTIFS('Conciliação'!$P$6:$P$305,$F16,'Conciliação'!$S$6:$S$305,"OK")</f>
        <v/>
      </c>
    </row>
    <row r="17">
      <c r="A17" s="14">
        <f>'Configurações'!A14</f>
        <v/>
      </c>
      <c r="B17" s="15">
        <f>IF($A17="","",SUMIFS('Conciliação'!$N$6:$N$305,'Conciliação'!$E$6:$E$305,$A17,'Conciliação'!$N$6:$N$305,"&gt;0",'Conciliação'!$S$6:$S$305,"OK"))</f>
        <v/>
      </c>
      <c r="C17" s="15">
        <f>IF($A17="","",-SUMIFS('Conciliação'!$N$6:$N$305,'Conciliação'!$E$6:$E$305,$A17,'Conciliação'!$N$6:$N$305,"&lt;0",'Conciliação'!$S$6:$S$305,"OK"))</f>
        <v/>
      </c>
      <c r="D17" s="15">
        <f>IF($A17="","",COUNTIFS('Conciliação'!$E$6:$E$305,$A17,'Conciliação'!$O$6:$O$305,"AUMENTAR")+COUNTIFS('Conciliação'!$E$6:$E$305,$A17,'Conciliação'!$O$6:$O$305,"REDUZIR"))</f>
        <v/>
      </c>
      <c r="F17" s="16" t="inlineStr">
        <is>
          <t>SEM EXPOSIÇÃO</t>
        </is>
      </c>
      <c r="G17" s="17">
        <f>COUNTIFS('Conciliação'!$P$6:$P$305,$F17,'Conciliação'!$S$6:$S$305,"OK")</f>
        <v/>
      </c>
    </row>
    <row r="18">
      <c r="A18" s="10">
        <f>'Configurações'!A15</f>
        <v/>
      </c>
      <c r="B18" s="11">
        <f>IF($A18="","",SUMIFS('Conciliação'!$N$6:$N$305,'Conciliação'!$E$6:$E$305,$A18,'Conciliação'!$N$6:$N$305,"&gt;0",'Conciliação'!$S$6:$S$305,"OK"))</f>
        <v/>
      </c>
      <c r="C18" s="11">
        <f>IF($A18="","",-SUMIFS('Conciliação'!$N$6:$N$305,'Conciliação'!$E$6:$E$305,$A18,'Conciliação'!$N$6:$N$305,"&lt;0",'Conciliação'!$S$6:$S$305,"OK"))</f>
        <v/>
      </c>
      <c r="D18" s="11">
        <f>IF($A18="","",COUNTIFS('Conciliação'!$E$6:$E$305,$A18,'Conciliação'!$O$6:$O$305,"AUMENTAR")+COUNTIFS('Conciliação'!$E$6:$E$305,$A18,'Conciliação'!$O$6:$O$305,"REDUZIR"))</f>
        <v/>
      </c>
    </row>
    <row r="19">
      <c r="A19" s="14">
        <f>'Configurações'!A16</f>
        <v/>
      </c>
      <c r="B19" s="15">
        <f>IF($A19="","",SUMIFS('Conciliação'!$N$6:$N$305,'Conciliação'!$E$6:$E$305,$A19,'Conciliação'!$N$6:$N$305,"&gt;0",'Conciliação'!$S$6:$S$305,"OK"))</f>
        <v/>
      </c>
      <c r="C19" s="15">
        <f>IF($A19="","",-SUMIFS('Conciliação'!$N$6:$N$305,'Conciliação'!$E$6:$E$305,$A19,'Conciliação'!$N$6:$N$305,"&lt;0",'Conciliação'!$S$6:$S$305,"OK"))</f>
        <v/>
      </c>
      <c r="D19" s="15">
        <f>IF($A19="","",COUNTIFS('Conciliação'!$E$6:$E$305,$A19,'Conciliação'!$O$6:$O$305,"AUMENTAR")+COUNTIFS('Conciliação'!$E$6:$E$305,$A19,'Conciliação'!$O$6:$O$305,"REDUZIR"))</f>
        <v/>
      </c>
    </row>
    <row r="20">
      <c r="A20" s="10">
        <f>'Configurações'!A17</f>
        <v/>
      </c>
      <c r="B20" s="11">
        <f>IF($A20="","",SUMIFS('Conciliação'!$N$6:$N$305,'Conciliação'!$E$6:$E$305,$A20,'Conciliação'!$N$6:$N$305,"&gt;0",'Conciliação'!$S$6:$S$305,"OK"))</f>
        <v/>
      </c>
      <c r="C20" s="11">
        <f>IF($A20="","",-SUMIFS('Conciliação'!$N$6:$N$305,'Conciliação'!$E$6:$E$305,$A20,'Conciliação'!$N$6:$N$305,"&lt;0",'Conciliação'!$S$6:$S$305,"OK"))</f>
        <v/>
      </c>
      <c r="D20" s="11">
        <f>IF($A20="","",COUNTIFS('Conciliação'!$E$6:$E$305,$A20,'Conciliação'!$O$6:$O$305,"AUMENTAR")+COUNTIFS('Conciliação'!$E$6:$E$305,$A20,'Conciliação'!$O$6:$O$305,"REDUZIR"))</f>
        <v/>
      </c>
    </row>
    <row r="21">
      <c r="A21" s="14">
        <f>'Configurações'!A18</f>
        <v/>
      </c>
      <c r="B21" s="15">
        <f>IF($A21="","",SUMIFS('Conciliação'!$N$6:$N$305,'Conciliação'!$E$6:$E$305,$A21,'Conciliação'!$N$6:$N$305,"&gt;0",'Conciliação'!$S$6:$S$305,"OK"))</f>
        <v/>
      </c>
      <c r="C21" s="15">
        <f>IF($A21="","",-SUMIFS('Conciliação'!$N$6:$N$305,'Conciliação'!$E$6:$E$305,$A21,'Conciliação'!$N$6:$N$305,"&lt;0",'Conciliação'!$S$6:$S$305,"OK"))</f>
        <v/>
      </c>
      <c r="D21" s="15">
        <f>IF($A21="","",COUNTIFS('Conciliação'!$E$6:$E$305,$A21,'Conciliação'!$O$6:$O$305,"AUMENTAR")+COUNTIFS('Conciliação'!$E$6:$E$305,$A21,'Conciliação'!$O$6:$O$305,"REDUZIR"))</f>
        <v/>
      </c>
    </row>
    <row r="22">
      <c r="A22" s="10">
        <f>'Configurações'!A19</f>
        <v/>
      </c>
      <c r="B22" s="11">
        <f>IF($A22="","",SUMIFS('Conciliação'!$N$6:$N$305,'Conciliação'!$E$6:$E$305,$A22,'Conciliação'!$N$6:$N$305,"&gt;0",'Conciliação'!$S$6:$S$305,"OK"))</f>
        <v/>
      </c>
      <c r="C22" s="11">
        <f>IF($A22="","",-SUMIFS('Conciliação'!$N$6:$N$305,'Conciliação'!$E$6:$E$305,$A22,'Conciliação'!$N$6:$N$305,"&lt;0",'Conciliação'!$S$6:$S$305,"OK"))</f>
        <v/>
      </c>
      <c r="D22" s="11">
        <f>IF($A22="","",COUNTIFS('Conciliação'!$E$6:$E$305,$A22,'Conciliação'!$O$6:$O$305,"AUMENTAR")+COUNTIFS('Conciliação'!$E$6:$E$305,$A22,'Conciliação'!$O$6:$O$305,"REDUZIR"))</f>
        <v/>
      </c>
    </row>
    <row r="23">
      <c r="A23" s="14">
        <f>'Configurações'!A20</f>
        <v/>
      </c>
      <c r="B23" s="15">
        <f>IF($A23="","",SUMIFS('Conciliação'!$N$6:$N$305,'Conciliação'!$E$6:$E$305,$A23,'Conciliação'!$N$6:$N$305,"&gt;0",'Conciliação'!$S$6:$S$305,"OK"))</f>
        <v/>
      </c>
      <c r="C23" s="15">
        <f>IF($A23="","",-SUMIFS('Conciliação'!$N$6:$N$305,'Conciliação'!$E$6:$E$305,$A23,'Conciliação'!$N$6:$N$305,"&lt;0",'Conciliação'!$S$6:$S$305,"OK"))</f>
        <v/>
      </c>
      <c r="D23" s="15">
        <f>IF($A23="","",COUNTIFS('Conciliação'!$E$6:$E$305,$A23,'Conciliação'!$O$6:$O$305,"AUMENTAR")+COUNTIFS('Conciliação'!$E$6:$E$305,$A23,'Conciliação'!$O$6:$O$305,"REDUZIR"))</f>
        <v/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A41" s="7" t="inlineStr">
        <is>
          <t>Alertas de controle</t>
        </is>
      </c>
    </row>
    <row r="42">
      <c r="A42" s="18" t="inlineStr">
        <is>
          <t>Configuração dos canais</t>
        </is>
      </c>
      <c r="B42" s="19">
        <f>'Configurações'!$B$7</f>
        <v/>
      </c>
    </row>
    <row r="43">
      <c r="A43" s="18" t="inlineStr">
        <is>
          <t>Data de referência</t>
        </is>
      </c>
      <c r="B43" s="19">
        <f>'Configurações'!$B$8</f>
        <v/>
      </c>
    </row>
    <row r="44">
      <c r="A44" s="18" t="inlineStr">
        <is>
          <t>SKUs com checagem pendente</t>
        </is>
      </c>
      <c r="B44" s="19">
        <f>COUNTIFS('Estoque Central'!$A$6:$A$205,"&lt;&gt;",'Estoque Central'!$M$6:$M$205,"&lt;&gt;OK")</f>
        <v/>
      </c>
    </row>
    <row r="45">
      <c r="A45" s="18" t="inlineStr">
        <is>
          <t>Canais com checagem pendente</t>
        </is>
      </c>
      <c r="B45" s="19">
        <f>COUNTIFS('Configurações'!$F$11:$F$20,"&lt;&gt;",'Configurações'!$F$11:$F$20,"&lt;&gt;OK")</f>
        <v/>
      </c>
    </row>
    <row r="46">
      <c r="A46" s="18" t="inlineStr">
        <is>
          <t>Conciliações vencidas</t>
        </is>
      </c>
      <c r="B46" s="19">
        <f>COUNTIFS('Conciliação'!$S$6:$S$305,"OK",'Conciliação'!$R$6:$R$305,"&lt;"&amp;'Configurações'!$B$5-'Configurações'!$B$4)</f>
        <v/>
      </c>
    </row>
    <row r="47">
      <c r="A47" s="18" t="inlineStr">
        <is>
          <t>Situação dos dados</t>
        </is>
      </c>
      <c r="B47" s="19">
        <f>IF(COUNTIFS('Conciliação'!$S$6:$S$305,"OK")=0,"SEM DADOS VÁLIDOS PARA O PAINEL","OK")</f>
        <v/>
      </c>
    </row>
  </sheetData>
  <mergeCells count="1">
    <mergeCell ref="A1:K1"/>
  </mergeCells>
  <conditionalFormatting sqref="B8">
    <cfRule type="expression" priority="1" dxfId="0">
      <formula>B8&gt;0</formula>
    </cfRule>
  </conditionalFormatting>
  <conditionalFormatting sqref="E8">
    <cfRule type="expression" priority="2" dxfId="0">
      <formula>E8&gt;0</formula>
    </cfRule>
  </conditionalFormatting>
  <conditionalFormatting sqref="H8">
    <cfRule type="expression" priority="3" dxfId="1">
      <formula>H8&gt;0</formula>
    </cfRule>
  </conditionalFormatting>
  <conditionalFormatting sqref="K8">
    <cfRule type="expression" priority="4" dxfId="2">
      <formula>K8&gt;0</formula>
    </cfRule>
  </conditionalFormatting>
  <conditionalFormatting sqref="B42:B43">
    <cfRule type="expression" priority="5" dxfId="2">
      <formula>AND(B42&lt;&gt;"",B42&lt;&gt;"OK")</formula>
    </cfRule>
  </conditionalFormatting>
  <conditionalFormatting sqref="B44:B46">
    <cfRule type="expression" priority="6" dxfId="2">
      <formula>B44&gt;0</formula>
    </cfRule>
  </conditionalFormatting>
  <conditionalFormatting sqref="B47">
    <cfRule type="expression" priority="7" dxfId="3">
      <formula>B47="SEM DADOS VÁLIDOS PARA O PAINEL"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 fitToPage="1"/>
  </sheetPr>
  <dimension ref="A1:M205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15" customWidth="1" min="3" max="3"/>
    <col width="13" customWidth="1" min="4" max="4"/>
    <col width="11" customWidth="1" min="5" max="5"/>
    <col width="20" customWidth="1" min="6" max="6"/>
    <col width="17" customWidth="1" min="7" max="7"/>
    <col width="17" customWidth="1" min="8" max="8"/>
    <col width="17" customWidth="1" min="9" max="9"/>
    <col width="19" customWidth="1" min="10" max="10"/>
    <col width="18" customWidth="1" min="11" max="11"/>
    <col width="31" customWidth="1" min="12" max="12"/>
    <col width="31" customWidth="1" min="13" max="13"/>
  </cols>
  <sheetData>
    <row r="1" ht="27" customHeight="1">
      <c r="A1" s="1" t="inlineStr">
        <is>
          <t>Estoque Central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40" t="n"/>
    </row>
    <row r="2"/>
    <row r="3">
      <c r="A3" s="20" t="inlineStr">
        <is>
          <t>Uma linha por SKU. Preencha as células amarelas; as células cinza são calculadas.</t>
        </is>
      </c>
    </row>
    <row r="4"/>
    <row r="5" ht="31" customHeight="1">
      <c r="A5" s="8" t="inlineStr">
        <is>
          <t>SKU</t>
        </is>
      </c>
      <c r="B5" s="8" t="inlineStr">
        <is>
          <t>Produto</t>
        </is>
      </c>
      <c r="C5" s="8" t="inlineStr">
        <is>
          <t>Status do SKU</t>
        </is>
      </c>
      <c r="D5" s="8" t="inlineStr">
        <is>
          <t>Saldo físico</t>
        </is>
      </c>
      <c r="E5" s="8" t="inlineStr">
        <is>
          <t>Reservas</t>
        </is>
      </c>
      <c r="F5" s="8" t="inlineStr">
        <is>
          <t>Estoque de segurança</t>
        </is>
      </c>
      <c r="G5" s="8" t="inlineStr">
        <is>
          <t>Última atualização</t>
        </is>
      </c>
      <c r="H5" s="8" t="inlineStr">
        <is>
          <t>Pedidos pendentes</t>
        </is>
      </c>
      <c r="I5" s="8" t="inlineStr">
        <is>
          <t>Disponível global</t>
        </is>
      </c>
      <c r="J5" s="8" t="inlineStr">
        <is>
          <t>Saldo publicado total</t>
        </is>
      </c>
      <c r="K5" s="8" t="inlineStr">
        <is>
          <t>Exposição excedente</t>
        </is>
      </c>
      <c r="L5" s="8" t="inlineStr">
        <is>
          <t>Alerta do SKU</t>
        </is>
      </c>
      <c r="M5" s="8" t="inlineStr">
        <is>
          <t>Checagem</t>
        </is>
      </c>
    </row>
    <row r="6">
      <c r="A6" s="21" t="inlineStr">
        <is>
          <t>FIC-CAN-001</t>
        </is>
      </c>
      <c r="B6" s="21" t="inlineStr">
        <is>
          <t>Caneca Aurora Fosca</t>
        </is>
      </c>
      <c r="C6" s="21" t="inlineStr">
        <is>
          <t>Ativo</t>
        </is>
      </c>
      <c r="D6" s="22" t="n">
        <v>40</v>
      </c>
      <c r="E6" s="22" t="n">
        <v>3</v>
      </c>
      <c r="F6" s="22" t="n">
        <v>2</v>
      </c>
      <c r="G6" s="23" t="n">
        <v>46270</v>
      </c>
      <c r="H6" s="24">
        <f>IF($A6="","",IFERROR(SUMIFS('Conciliação'!$G$6:$G$305,'Conciliação'!$B$6:$B$305,$A6,'Conciliação'!$S$6:$S$305,"OK"),0))</f>
        <v/>
      </c>
      <c r="I6" s="24">
        <f>IF($A6="","",IF(OR(NOT(ISNUMBER($D6)),NOT(ISNUMBER($E6)),AND($F6&lt;&gt;"",NOT(ISNUMBER($F6)))),"",MAX(0,$D6-$E6-$H6-IF($F6="",'Configurações'!$B$2,$F6))))</f>
        <v/>
      </c>
      <c r="J6" s="24">
        <f>IF($A6="","",IFERROR(SUMIFS('Conciliação'!$F$6:$F$305,'Conciliação'!$B$6:$B$305,$A6,'Conciliação'!$S$6:$S$305,"OK"),0))</f>
        <v/>
      </c>
      <c r="K6" s="24">
        <f>IF(OR($I6="",$J6=""),"",MAX(0,$J6-$I6))</f>
        <v/>
      </c>
      <c r="L6" s="25">
        <f>IF($A6="","",IF($C6="Inativo",IF($J6&gt;0,"INATIVO COM PUBLICAÇÃO","INATIVO"),IF($I6="","REVISAR DADOS",IF($K6&gt;0,"EXPOSIÇÃO ACIMA DO DISPONÍVEL",IF($I6=0,"SEM SALDO DISPONÍVEL",IF($G6="","SEM DATA",IF('Configurações'!$B$5-$G6&gt;'Configurações'!$B$4,"ATUALIZAÇÃO VENCIDA","OK")))))))</f>
        <v/>
      </c>
      <c r="M6" s="25">
        <f>IF(COUNTA($A6:$G6)=0,"",IF($A6="","SKU AUSENTE",IF(COUNTIF($A$6:$A$205,$A6)&gt;1,"SKU DUPLICADO",IF($B6="","PRODUTO AUSENTE",IF(AND($C6&lt;&gt;"Ativo",$C6&lt;&gt;"Inativo"),"STATUS INVÁLIDO",IF(IFERROR(OR(NOT(ISNUMBER($D6)),$D6&lt;0,MOD($D6,1)&lt;&gt;0),TRUE),"SALDO FÍSICO INVÁLIDO",IF(IFERROR(OR(NOT(ISNUMBER($E6)),$E6&lt;0,MOD($E6,1)&lt;&gt;0),TRUE),"RESERVAS INVÁLIDAS",IF(AND($F6&lt;&gt;"",IFERROR(OR(NOT(ISNUMBER($F6)),$F6&lt;0,MOD($F6,1)&lt;&gt;0),TRUE)),"ESTOQUE DE SEGURANÇA INVÁLIDO",IF(IFERROR(OR(NOT(ISNUMBER($G6)),$G6&gt;'Configurações'!$B$5),TRUE),"DATA INVÁLIDA",IF($E6&gt;$D6,"RESERVAS MAIORES QUE O SALDO","OK"))))))))))</f>
        <v/>
      </c>
    </row>
    <row r="7">
      <c r="A7" s="21" t="inlineStr">
        <is>
          <t>FIC-CAD-002</t>
        </is>
      </c>
      <c r="B7" s="21" t="inlineStr">
        <is>
          <t>Caderno Neblina A5</t>
        </is>
      </c>
      <c r="C7" s="21" t="inlineStr">
        <is>
          <t>Ativo</t>
        </is>
      </c>
      <c r="D7" s="22" t="n">
        <v>18</v>
      </c>
      <c r="E7" s="22" t="n">
        <v>2</v>
      </c>
      <c r="F7" s="22" t="n">
        <v>1</v>
      </c>
      <c r="G7" s="23" t="n">
        <v>46271</v>
      </c>
      <c r="H7" s="24">
        <f>IF($A7="","",IFERROR(SUMIFS('Conciliação'!$G$6:$G$305,'Conciliação'!$B$6:$B$305,$A7,'Conciliação'!$S$6:$S$305,"OK"),0))</f>
        <v/>
      </c>
      <c r="I7" s="24">
        <f>IF($A7="","",IF(OR(NOT(ISNUMBER($D7)),NOT(ISNUMBER($E7)),AND($F7&lt;&gt;"",NOT(ISNUMBER($F7)))),"",MAX(0,$D7-$E7-$H7-IF($F7="",'Configurações'!$B$2,$F7))))</f>
        <v/>
      </c>
      <c r="J7" s="24">
        <f>IF($A7="","",IFERROR(SUMIFS('Conciliação'!$F$6:$F$305,'Conciliação'!$B$6:$B$305,$A7,'Conciliação'!$S$6:$S$305,"OK"),0))</f>
        <v/>
      </c>
      <c r="K7" s="24">
        <f>IF(OR($I7="",$J7=""),"",MAX(0,$J7-$I7))</f>
        <v/>
      </c>
      <c r="L7" s="25">
        <f>IF($A7="","",IF($C7="Inativo",IF($J7&gt;0,"INATIVO COM PUBLICAÇÃO","INATIVO"),IF($I7="","REVISAR DADOS",IF($K7&gt;0,"EXPOSIÇÃO ACIMA DO DISPONÍVEL",IF($I7=0,"SEM SALDO DISPONÍVEL",IF($G7="","SEM DATA",IF('Configurações'!$B$5-$G7&gt;'Configurações'!$B$4,"ATUALIZAÇÃO VENCIDA","OK")))))))</f>
        <v/>
      </c>
      <c r="M7" s="25">
        <f>IF(COUNTA($A7:$G7)=0,"",IF($A7="","SKU AUSENTE",IF(COUNTIF($A$6:$A$205,$A7)&gt;1,"SKU DUPLICADO",IF($B7="","PRODUTO AUSENTE",IF(AND($C7&lt;&gt;"Ativo",$C7&lt;&gt;"Inativo"),"STATUS INVÁLIDO",IF(IFERROR(OR(NOT(ISNUMBER($D7)),$D7&lt;0,MOD($D7,1)&lt;&gt;0),TRUE),"SALDO FÍSICO INVÁLIDO",IF(IFERROR(OR(NOT(ISNUMBER($E7)),$E7&lt;0,MOD($E7,1)&lt;&gt;0),TRUE),"RESERVAS INVÁLIDAS",IF(AND($F7&lt;&gt;"",IFERROR(OR(NOT(ISNUMBER($F7)),$F7&lt;0,MOD($F7,1)&lt;&gt;0),TRUE)),"ESTOQUE DE SEGURANÇA INVÁLIDO",IF(IFERROR(OR(NOT(ISNUMBER($G7)),$G7&gt;'Configurações'!$B$5),TRUE),"DATA INVÁLIDA",IF($E7&gt;$D7,"RESERVAS MAIORES QUE O SALDO","OK"))))))))))</f>
        <v/>
      </c>
    </row>
    <row r="8">
      <c r="A8" s="21" t="inlineStr">
        <is>
          <t>FIC-ECO-003</t>
        </is>
      </c>
      <c r="B8" s="21" t="inlineStr">
        <is>
          <t>Ecobag Horizonte Cru</t>
        </is>
      </c>
      <c r="C8" s="21" t="inlineStr">
        <is>
          <t>Ativo</t>
        </is>
      </c>
      <c r="D8" s="22" t="n">
        <v>7</v>
      </c>
      <c r="E8" s="22" t="n">
        <v>1</v>
      </c>
      <c r="F8" s="22" t="n">
        <v>2</v>
      </c>
      <c r="G8" s="23" t="n">
        <v>46269</v>
      </c>
      <c r="H8" s="24">
        <f>IF($A8="","",IFERROR(SUMIFS('Conciliação'!$G$6:$G$305,'Conciliação'!$B$6:$B$305,$A8,'Conciliação'!$S$6:$S$305,"OK"),0))</f>
        <v/>
      </c>
      <c r="I8" s="24">
        <f>IF($A8="","",IF(OR(NOT(ISNUMBER($D8)),NOT(ISNUMBER($E8)),AND($F8&lt;&gt;"",NOT(ISNUMBER($F8)))),"",MAX(0,$D8-$E8-$H8-IF($F8="",'Configurações'!$B$2,$F8))))</f>
        <v/>
      </c>
      <c r="J8" s="24">
        <f>IF($A8="","",IFERROR(SUMIFS('Conciliação'!$F$6:$F$305,'Conciliação'!$B$6:$B$305,$A8,'Conciliação'!$S$6:$S$305,"OK"),0))</f>
        <v/>
      </c>
      <c r="K8" s="24">
        <f>IF(OR($I8="",$J8=""),"",MAX(0,$J8-$I8))</f>
        <v/>
      </c>
      <c r="L8" s="25">
        <f>IF($A8="","",IF($C8="Inativo",IF($J8&gt;0,"INATIVO COM PUBLICAÇÃO","INATIVO"),IF($I8="","REVISAR DADOS",IF($K8&gt;0,"EXPOSIÇÃO ACIMA DO DISPONÍVEL",IF($I8=0,"SEM SALDO DISPONÍVEL",IF($G8="","SEM DATA",IF('Configurações'!$B$5-$G8&gt;'Configurações'!$B$4,"ATUALIZAÇÃO VENCIDA","OK")))))))</f>
        <v/>
      </c>
      <c r="M8" s="25">
        <f>IF(COUNTA($A8:$G8)=0,"",IF($A8="","SKU AUSENTE",IF(COUNTIF($A$6:$A$205,$A8)&gt;1,"SKU DUPLICADO",IF($B8="","PRODUTO AUSENTE",IF(AND($C8&lt;&gt;"Ativo",$C8&lt;&gt;"Inativo"),"STATUS INVÁLIDO",IF(IFERROR(OR(NOT(ISNUMBER($D8)),$D8&lt;0,MOD($D8,1)&lt;&gt;0),TRUE),"SALDO FÍSICO INVÁLIDO",IF(IFERROR(OR(NOT(ISNUMBER($E8)),$E8&lt;0,MOD($E8,1)&lt;&gt;0),TRUE),"RESERVAS INVÁLIDAS",IF(AND($F8&lt;&gt;"",IFERROR(OR(NOT(ISNUMBER($F8)),$F8&lt;0,MOD($F8,1)&lt;&gt;0),TRUE)),"ESTOQUE DE SEGURANÇA INVÁLIDO",IF(IFERROR(OR(NOT(ISNUMBER($G8)),$G8&gt;'Configurações'!$B$5),TRUE),"DATA INVÁLIDA",IF($E8&gt;$D8,"RESERVAS MAIORES QUE O SALDO","OK"))))))))))</f>
        <v/>
      </c>
    </row>
    <row r="9">
      <c r="A9" s="21" t="inlineStr">
        <is>
          <t>FIC-LUM-004</t>
        </is>
      </c>
      <c r="B9" s="21" t="inlineStr">
        <is>
          <t>Luminária Brisa USB</t>
        </is>
      </c>
      <c r="C9" s="21" t="inlineStr">
        <is>
          <t>Ativo</t>
        </is>
      </c>
      <c r="D9" s="22" t="n">
        <v>0</v>
      </c>
      <c r="E9" s="22" t="n">
        <v>0</v>
      </c>
      <c r="F9" s="22" t="n">
        <v>1</v>
      </c>
      <c r="G9" s="23" t="n">
        <v>46271</v>
      </c>
      <c r="H9" s="24">
        <f>IF($A9="","",IFERROR(SUMIFS('Conciliação'!$G$6:$G$305,'Conciliação'!$B$6:$B$305,$A9,'Conciliação'!$S$6:$S$305,"OK"),0))</f>
        <v/>
      </c>
      <c r="I9" s="24">
        <f>IF($A9="","",IF(OR(NOT(ISNUMBER($D9)),NOT(ISNUMBER($E9)),AND($F9&lt;&gt;"",NOT(ISNUMBER($F9)))),"",MAX(0,$D9-$E9-$H9-IF($F9="",'Configurações'!$B$2,$F9))))</f>
        <v/>
      </c>
      <c r="J9" s="24">
        <f>IF($A9="","",IFERROR(SUMIFS('Conciliação'!$F$6:$F$305,'Conciliação'!$B$6:$B$305,$A9,'Conciliação'!$S$6:$S$305,"OK"),0))</f>
        <v/>
      </c>
      <c r="K9" s="24">
        <f>IF(OR($I9="",$J9=""),"",MAX(0,$J9-$I9))</f>
        <v/>
      </c>
      <c r="L9" s="25">
        <f>IF($A9="","",IF($C9="Inativo",IF($J9&gt;0,"INATIVO COM PUBLICAÇÃO","INATIVO"),IF($I9="","REVISAR DADOS",IF($K9&gt;0,"EXPOSIÇÃO ACIMA DO DISPONÍVEL",IF($I9=0,"SEM SALDO DISPONÍVEL",IF($G9="","SEM DATA",IF('Configurações'!$B$5-$G9&gt;'Configurações'!$B$4,"ATUALIZAÇÃO VENCIDA","OK")))))))</f>
        <v/>
      </c>
      <c r="M9" s="25">
        <f>IF(COUNTA($A9:$G9)=0,"",IF($A9="","SKU AUSENTE",IF(COUNTIF($A$6:$A$205,$A9)&gt;1,"SKU DUPLICADO",IF($B9="","PRODUTO AUSENTE",IF(AND($C9&lt;&gt;"Ativo",$C9&lt;&gt;"Inativo"),"STATUS INVÁLIDO",IF(IFERROR(OR(NOT(ISNUMBER($D9)),$D9&lt;0,MOD($D9,1)&lt;&gt;0),TRUE),"SALDO FÍSICO INVÁLIDO",IF(IFERROR(OR(NOT(ISNUMBER($E9)),$E9&lt;0,MOD($E9,1)&lt;&gt;0),TRUE),"RESERVAS INVÁLIDAS",IF(AND($F9&lt;&gt;"",IFERROR(OR(NOT(ISNUMBER($F9)),$F9&lt;0,MOD($F9,1)&lt;&gt;0),TRUE)),"ESTOQUE DE SEGURANÇA INVÁLIDO",IF(IFERROR(OR(NOT(ISNUMBER($G9)),$G9&gt;'Configurações'!$B$5),TRUE),"DATA INVÁLIDA",IF($E9&gt;$D9,"RESERVAS MAIORES QUE O SALDO","OK"))))))))))</f>
        <v/>
      </c>
    </row>
    <row r="10">
      <c r="A10" s="21" t="inlineStr">
        <is>
          <t>FIC-ORG-005</t>
        </is>
      </c>
      <c r="B10" s="21" t="inlineStr">
        <is>
          <t>Organizador Prisma P</t>
        </is>
      </c>
      <c r="C10" s="21" t="inlineStr">
        <is>
          <t>Ativo</t>
        </is>
      </c>
      <c r="D10" s="22" t="n">
        <v>22</v>
      </c>
      <c r="E10" s="22" t="n">
        <v>5</v>
      </c>
      <c r="F10" s="22" t="n">
        <v>2</v>
      </c>
      <c r="G10" s="23" t="n">
        <v>46268</v>
      </c>
      <c r="H10" s="24">
        <f>IF($A10="","",IFERROR(SUMIFS('Conciliação'!$G$6:$G$305,'Conciliação'!$B$6:$B$305,$A10,'Conciliação'!$S$6:$S$305,"OK"),0))</f>
        <v/>
      </c>
      <c r="I10" s="24">
        <f>IF($A10="","",IF(OR(NOT(ISNUMBER($D10)),NOT(ISNUMBER($E10)),AND($F10&lt;&gt;"",NOT(ISNUMBER($F10)))),"",MAX(0,$D10-$E10-$H10-IF($F10="",'Configurações'!$B$2,$F10))))</f>
        <v/>
      </c>
      <c r="J10" s="24">
        <f>IF($A10="","",IFERROR(SUMIFS('Conciliação'!$F$6:$F$305,'Conciliação'!$B$6:$B$305,$A10,'Conciliação'!$S$6:$S$305,"OK"),0))</f>
        <v/>
      </c>
      <c r="K10" s="24">
        <f>IF(OR($I10="",$J10=""),"",MAX(0,$J10-$I10))</f>
        <v/>
      </c>
      <c r="L10" s="25">
        <f>IF($A10="","",IF($C10="Inativo",IF($J10&gt;0,"INATIVO COM PUBLICAÇÃO","INATIVO"),IF($I10="","REVISAR DADOS",IF($K10&gt;0,"EXPOSIÇÃO ACIMA DO DISPONÍVEL",IF($I10=0,"SEM SALDO DISPONÍVEL",IF($G10="","SEM DATA",IF('Configurações'!$B$5-$G10&gt;'Configurações'!$B$4,"ATUALIZAÇÃO VENCIDA","OK")))))))</f>
        <v/>
      </c>
      <c r="M10" s="25">
        <f>IF(COUNTA($A10:$G10)=0,"",IF($A10="","SKU AUSENTE",IF(COUNTIF($A$6:$A$205,$A10)&gt;1,"SKU DUPLICADO",IF($B10="","PRODUTO AUSENTE",IF(AND($C10&lt;&gt;"Ativo",$C10&lt;&gt;"Inativo"),"STATUS INVÁLIDO",IF(IFERROR(OR(NOT(ISNUMBER($D10)),$D10&lt;0,MOD($D10,1)&lt;&gt;0),TRUE),"SALDO FÍSICO INVÁLIDO",IF(IFERROR(OR(NOT(ISNUMBER($E10)),$E10&lt;0,MOD($E10,1)&lt;&gt;0),TRUE),"RESERVAS INVÁLIDAS",IF(AND($F10&lt;&gt;"",IFERROR(OR(NOT(ISNUMBER($F10)),$F10&lt;0,MOD($F10,1)&lt;&gt;0),TRUE)),"ESTOQUE DE SEGURANÇA INVÁLIDO",IF(IFERROR(OR(NOT(ISNUMBER($G10)),$G10&gt;'Configurações'!$B$5),TRUE),"DATA INVÁLIDA",IF($E10&gt;$D10,"RESERVAS MAIORES QUE O SALDO","OK"))))))))))</f>
        <v/>
      </c>
    </row>
    <row r="11">
      <c r="A11" s="21" t="inlineStr">
        <is>
          <t>FIC-GAR-006</t>
        </is>
      </c>
      <c r="B11" s="21" t="inlineStr">
        <is>
          <t>Garrafa Vale 600 ml</t>
        </is>
      </c>
      <c r="C11" s="21" t="inlineStr">
        <is>
          <t>Ativo</t>
        </is>
      </c>
      <c r="D11" s="22" t="n">
        <v>12</v>
      </c>
      <c r="E11" s="22" t="n">
        <v>1</v>
      </c>
      <c r="F11" s="22" t="n"/>
      <c r="G11" s="23" t="n">
        <v>46270</v>
      </c>
      <c r="H11" s="24">
        <f>IF($A11="","",IFERROR(SUMIFS('Conciliação'!$G$6:$G$305,'Conciliação'!$B$6:$B$305,$A11,'Conciliação'!$S$6:$S$305,"OK"),0))</f>
        <v/>
      </c>
      <c r="I11" s="24">
        <f>IF($A11="","",IF(OR(NOT(ISNUMBER($D11)),NOT(ISNUMBER($E11)),AND($F11&lt;&gt;"",NOT(ISNUMBER($F11)))),"",MAX(0,$D11-$E11-$H11-IF($F11="",'Configurações'!$B$2,$F11))))</f>
        <v/>
      </c>
      <c r="J11" s="24">
        <f>IF($A11="","",IFERROR(SUMIFS('Conciliação'!$F$6:$F$305,'Conciliação'!$B$6:$B$305,$A11,'Conciliação'!$S$6:$S$305,"OK"),0))</f>
        <v/>
      </c>
      <c r="K11" s="24">
        <f>IF(OR($I11="",$J11=""),"",MAX(0,$J11-$I11))</f>
        <v/>
      </c>
      <c r="L11" s="25">
        <f>IF($A11="","",IF($C11="Inativo",IF($J11&gt;0,"INATIVO COM PUBLICAÇÃO","INATIVO"),IF($I11="","REVISAR DADOS",IF($K11&gt;0,"EXPOSIÇÃO ACIMA DO DISPONÍVEL",IF($I11=0,"SEM SALDO DISPONÍVEL",IF($G11="","SEM DATA",IF('Configurações'!$B$5-$G11&gt;'Configurações'!$B$4,"ATUALIZAÇÃO VENCIDA","OK")))))))</f>
        <v/>
      </c>
      <c r="M11" s="25">
        <f>IF(COUNTA($A11:$G11)=0,"",IF($A11="","SKU AUSENTE",IF(COUNTIF($A$6:$A$205,$A11)&gt;1,"SKU DUPLICADO",IF($B11="","PRODUTO AUSENTE",IF(AND($C11&lt;&gt;"Ativo",$C11&lt;&gt;"Inativo"),"STATUS INVÁLIDO",IF(IFERROR(OR(NOT(ISNUMBER($D11)),$D11&lt;0,MOD($D11,1)&lt;&gt;0),TRUE),"SALDO FÍSICO INVÁLIDO",IF(IFERROR(OR(NOT(ISNUMBER($E11)),$E11&lt;0,MOD($E11,1)&lt;&gt;0),TRUE),"RESERVAS INVÁLIDAS",IF(AND($F11&lt;&gt;"",IFERROR(OR(NOT(ISNUMBER($F11)),$F11&lt;0,MOD($F11,1)&lt;&gt;0),TRUE)),"ESTOQUE DE SEGURANÇA INVÁLIDO",IF(IFERROR(OR(NOT(ISNUMBER($G11)),$G11&gt;'Configurações'!$B$5),TRUE),"DATA INVÁLIDA",IF($E11&gt;$D11,"RESERVAS MAIORES QUE O SALDO","OK"))))))))))</f>
        <v/>
      </c>
    </row>
    <row r="12">
      <c r="A12" s="21" t="inlineStr">
        <is>
          <t>FIC-ALM-007</t>
        </is>
      </c>
      <c r="B12" s="21" t="inlineStr">
        <is>
          <t>Almofada Nuvem 40 cm</t>
        </is>
      </c>
      <c r="C12" s="21" t="inlineStr">
        <is>
          <t>Ativo</t>
        </is>
      </c>
      <c r="D12" s="22" t="n">
        <v>5</v>
      </c>
      <c r="E12" s="22" t="n">
        <v>0</v>
      </c>
      <c r="F12" s="22" t="n">
        <v>1</v>
      </c>
      <c r="G12" s="23" t="n">
        <v>46271</v>
      </c>
      <c r="H12" s="24">
        <f>IF($A12="","",IFERROR(SUMIFS('Conciliação'!$G$6:$G$305,'Conciliação'!$B$6:$B$305,$A12,'Conciliação'!$S$6:$S$305,"OK"),0))</f>
        <v/>
      </c>
      <c r="I12" s="24">
        <f>IF($A12="","",IF(OR(NOT(ISNUMBER($D12)),NOT(ISNUMBER($E12)),AND($F12&lt;&gt;"",NOT(ISNUMBER($F12)))),"",MAX(0,$D12-$E12-$H12-IF($F12="",'Configurações'!$B$2,$F12))))</f>
        <v/>
      </c>
      <c r="J12" s="24">
        <f>IF($A12="","",IFERROR(SUMIFS('Conciliação'!$F$6:$F$305,'Conciliação'!$B$6:$B$305,$A12,'Conciliação'!$S$6:$S$305,"OK"),0))</f>
        <v/>
      </c>
      <c r="K12" s="24">
        <f>IF(OR($I12="",$J12=""),"",MAX(0,$J12-$I12))</f>
        <v/>
      </c>
      <c r="L12" s="25">
        <f>IF($A12="","",IF($C12="Inativo",IF($J12&gt;0,"INATIVO COM PUBLICAÇÃO","INATIVO"),IF($I12="","REVISAR DADOS",IF($K12&gt;0,"EXPOSIÇÃO ACIMA DO DISPONÍVEL",IF($I12=0,"SEM SALDO DISPONÍVEL",IF($G12="","SEM DATA",IF('Configurações'!$B$5-$G12&gt;'Configurações'!$B$4,"ATUALIZAÇÃO VENCIDA","OK")))))))</f>
        <v/>
      </c>
      <c r="M12" s="25">
        <f>IF(COUNTA($A12:$G12)=0,"",IF($A12="","SKU AUSENTE",IF(COUNTIF($A$6:$A$205,$A12)&gt;1,"SKU DUPLICADO",IF($B12="","PRODUTO AUSENTE",IF(AND($C12&lt;&gt;"Ativo",$C12&lt;&gt;"Inativo"),"STATUS INVÁLIDO",IF(IFERROR(OR(NOT(ISNUMBER($D12)),$D12&lt;0,MOD($D12,1)&lt;&gt;0),TRUE),"SALDO FÍSICO INVÁLIDO",IF(IFERROR(OR(NOT(ISNUMBER($E12)),$E12&lt;0,MOD($E12,1)&lt;&gt;0),TRUE),"RESERVAS INVÁLIDAS",IF(AND($F12&lt;&gt;"",IFERROR(OR(NOT(ISNUMBER($F12)),$F12&lt;0,MOD($F12,1)&lt;&gt;0),TRUE)),"ESTOQUE DE SEGURANÇA INVÁLIDO",IF(IFERROR(OR(NOT(ISNUMBER($G12)),$G12&gt;'Configurações'!$B$5),TRUE),"DATA INVÁLIDA",IF($E12&gt;$D12,"RESERVAS MAIORES QUE O SALDO","OK"))))))))))</f>
        <v/>
      </c>
    </row>
    <row r="13">
      <c r="A13" s="21" t="inlineStr">
        <is>
          <t>FIC-KIT-008</t>
        </is>
      </c>
      <c r="B13" s="21" t="inlineStr">
        <is>
          <t>Kit Mesa Orvalho</t>
        </is>
      </c>
      <c r="C13" s="21" t="inlineStr">
        <is>
          <t>Ativo</t>
        </is>
      </c>
      <c r="D13" s="22" t="n">
        <v>30</v>
      </c>
      <c r="E13" s="22" t="n">
        <v>4</v>
      </c>
      <c r="F13" s="22" t="n">
        <v>3</v>
      </c>
      <c r="G13" s="23" t="n">
        <v>46270</v>
      </c>
      <c r="H13" s="24">
        <f>IF($A13="","",IFERROR(SUMIFS('Conciliação'!$G$6:$G$305,'Conciliação'!$B$6:$B$305,$A13,'Conciliação'!$S$6:$S$305,"OK"),0))</f>
        <v/>
      </c>
      <c r="I13" s="24">
        <f>IF($A13="","",IF(OR(NOT(ISNUMBER($D13)),NOT(ISNUMBER($E13)),AND($F13&lt;&gt;"",NOT(ISNUMBER($F13)))),"",MAX(0,$D13-$E13-$H13-IF($F13="",'Configurações'!$B$2,$F13))))</f>
        <v/>
      </c>
      <c r="J13" s="24">
        <f>IF($A13="","",IFERROR(SUMIFS('Conciliação'!$F$6:$F$305,'Conciliação'!$B$6:$B$305,$A13,'Conciliação'!$S$6:$S$305,"OK"),0))</f>
        <v/>
      </c>
      <c r="K13" s="24">
        <f>IF(OR($I13="",$J13=""),"",MAX(0,$J13-$I13))</f>
        <v/>
      </c>
      <c r="L13" s="25">
        <f>IF($A13="","",IF($C13="Inativo",IF($J13&gt;0,"INATIVO COM PUBLICAÇÃO","INATIVO"),IF($I13="","REVISAR DADOS",IF($K13&gt;0,"EXPOSIÇÃO ACIMA DO DISPONÍVEL",IF($I13=0,"SEM SALDO DISPONÍVEL",IF($G13="","SEM DATA",IF('Configurações'!$B$5-$G13&gt;'Configurações'!$B$4,"ATUALIZAÇÃO VENCIDA","OK")))))))</f>
        <v/>
      </c>
      <c r="M13" s="25">
        <f>IF(COUNTA($A13:$G13)=0,"",IF($A13="","SKU AUSENTE",IF(COUNTIF($A$6:$A$205,$A13)&gt;1,"SKU DUPLICADO",IF($B13="","PRODUTO AUSENTE",IF(AND($C13&lt;&gt;"Ativo",$C13&lt;&gt;"Inativo"),"STATUS INVÁLIDO",IF(IFERROR(OR(NOT(ISNUMBER($D13)),$D13&lt;0,MOD($D13,1)&lt;&gt;0),TRUE),"SALDO FÍSICO INVÁLIDO",IF(IFERROR(OR(NOT(ISNUMBER($E13)),$E13&lt;0,MOD($E13,1)&lt;&gt;0),TRUE),"RESERVAS INVÁLIDAS",IF(AND($F13&lt;&gt;"",IFERROR(OR(NOT(ISNUMBER($F13)),$F13&lt;0,MOD($F13,1)&lt;&gt;0),TRUE)),"ESTOQUE DE SEGURANÇA INVÁLIDO",IF(IFERROR(OR(NOT(ISNUMBER($G13)),$G13&gt;'Configurações'!$B$5),TRUE),"DATA INVÁLIDA",IF($E13&gt;$D13,"RESERVAS MAIORES QUE O SALDO","OK"))))))))))</f>
        <v/>
      </c>
    </row>
    <row r="14">
      <c r="A14" s="21" t="inlineStr">
        <is>
          <t>FIC-POR-009</t>
        </is>
      </c>
      <c r="B14" s="21" t="inlineStr">
        <is>
          <t>Porta-cabos Faísca</t>
        </is>
      </c>
      <c r="C14" s="21" t="inlineStr">
        <is>
          <t>Inativo</t>
        </is>
      </c>
      <c r="D14" s="22" t="n">
        <v>9</v>
      </c>
      <c r="E14" s="22" t="n">
        <v>0</v>
      </c>
      <c r="F14" s="22" t="n">
        <v>1</v>
      </c>
      <c r="G14" s="23" t="n">
        <v>46271</v>
      </c>
      <c r="H14" s="24">
        <f>IF($A14="","",IFERROR(SUMIFS('Conciliação'!$G$6:$G$305,'Conciliação'!$B$6:$B$305,$A14,'Conciliação'!$S$6:$S$305,"OK"),0))</f>
        <v/>
      </c>
      <c r="I14" s="24">
        <f>IF($A14="","",IF(OR(NOT(ISNUMBER($D14)),NOT(ISNUMBER($E14)),AND($F14&lt;&gt;"",NOT(ISNUMBER($F14)))),"",MAX(0,$D14-$E14-$H14-IF($F14="",'Configurações'!$B$2,$F14))))</f>
        <v/>
      </c>
      <c r="J14" s="24">
        <f>IF($A14="","",IFERROR(SUMIFS('Conciliação'!$F$6:$F$305,'Conciliação'!$B$6:$B$305,$A14,'Conciliação'!$S$6:$S$305,"OK"),0))</f>
        <v/>
      </c>
      <c r="K14" s="24">
        <f>IF(OR($I14="",$J14=""),"",MAX(0,$J14-$I14))</f>
        <v/>
      </c>
      <c r="L14" s="25">
        <f>IF($A14="","",IF($C14="Inativo",IF($J14&gt;0,"INATIVO COM PUBLICAÇÃO","INATIVO"),IF($I14="","REVISAR DADOS",IF($K14&gt;0,"EXPOSIÇÃO ACIMA DO DISPONÍVEL",IF($I14=0,"SEM SALDO DISPONÍVEL",IF($G14="","SEM DATA",IF('Configurações'!$B$5-$G14&gt;'Configurações'!$B$4,"ATUALIZAÇÃO VENCIDA","OK")))))))</f>
        <v/>
      </c>
      <c r="M14" s="25">
        <f>IF(COUNTA($A14:$G14)=0,"",IF($A14="","SKU AUSENTE",IF(COUNTIF($A$6:$A$205,$A14)&gt;1,"SKU DUPLICADO",IF($B14="","PRODUTO AUSENTE",IF(AND($C14&lt;&gt;"Ativo",$C14&lt;&gt;"Inativo"),"STATUS INVÁLIDO",IF(IFERROR(OR(NOT(ISNUMBER($D14)),$D14&lt;0,MOD($D14,1)&lt;&gt;0),TRUE),"SALDO FÍSICO INVÁLIDO",IF(IFERROR(OR(NOT(ISNUMBER($E14)),$E14&lt;0,MOD($E14,1)&lt;&gt;0),TRUE),"RESERVAS INVÁLIDAS",IF(AND($F14&lt;&gt;"",IFERROR(OR(NOT(ISNUMBER($F14)),$F14&lt;0,MOD($F14,1)&lt;&gt;0),TRUE)),"ESTOQUE DE SEGURANÇA INVÁLIDO",IF(IFERROR(OR(NOT(ISNUMBER($G14)),$G14&gt;'Configurações'!$B$5),TRUE),"DATA INVÁLIDA",IF($E14&gt;$D14,"RESERVAS MAIORES QUE O SALDO","OK"))))))))))</f>
        <v/>
      </c>
    </row>
    <row r="15">
      <c r="A15" s="21" t="inlineStr">
        <is>
          <t>FIC-SUP-010</t>
        </is>
      </c>
      <c r="B15" s="21" t="inlineStr">
        <is>
          <t>Suporte Cedro Mini</t>
        </is>
      </c>
      <c r="C15" s="21" t="inlineStr">
        <is>
          <t>Ativo</t>
        </is>
      </c>
      <c r="D15" s="22" t="n">
        <v>15</v>
      </c>
      <c r="E15" s="22" t="n">
        <v>2</v>
      </c>
      <c r="F15" s="22" t="n">
        <v>2</v>
      </c>
      <c r="G15" s="23" t="n">
        <v>46269</v>
      </c>
      <c r="H15" s="24">
        <f>IF($A15="","",IFERROR(SUMIFS('Conciliação'!$G$6:$G$305,'Conciliação'!$B$6:$B$305,$A15,'Conciliação'!$S$6:$S$305,"OK"),0))</f>
        <v/>
      </c>
      <c r="I15" s="24">
        <f>IF($A15="","",IF(OR(NOT(ISNUMBER($D15)),NOT(ISNUMBER($E15)),AND($F15&lt;&gt;"",NOT(ISNUMBER($F15)))),"",MAX(0,$D15-$E15-$H15-IF($F15="",'Configurações'!$B$2,$F15))))</f>
        <v/>
      </c>
      <c r="J15" s="24">
        <f>IF($A15="","",IFERROR(SUMIFS('Conciliação'!$F$6:$F$305,'Conciliação'!$B$6:$B$305,$A15,'Conciliação'!$S$6:$S$305,"OK"),0))</f>
        <v/>
      </c>
      <c r="K15" s="24">
        <f>IF(OR($I15="",$J15=""),"",MAX(0,$J15-$I15))</f>
        <v/>
      </c>
      <c r="L15" s="25">
        <f>IF($A15="","",IF($C15="Inativo",IF($J15&gt;0,"INATIVO COM PUBLICAÇÃO","INATIVO"),IF($I15="","REVISAR DADOS",IF($K15&gt;0,"EXPOSIÇÃO ACIMA DO DISPONÍVEL",IF($I15=0,"SEM SALDO DISPONÍVEL",IF($G15="","SEM DATA",IF('Configurações'!$B$5-$G15&gt;'Configurações'!$B$4,"ATUALIZAÇÃO VENCIDA","OK")))))))</f>
        <v/>
      </c>
      <c r="M15" s="25">
        <f>IF(COUNTA($A15:$G15)=0,"",IF($A15="","SKU AUSENTE",IF(COUNTIF($A$6:$A$205,$A15)&gt;1,"SKU DUPLICADO",IF($B15="","PRODUTO AUSENTE",IF(AND($C15&lt;&gt;"Ativo",$C15&lt;&gt;"Inativo"),"STATUS INVÁLIDO",IF(IFERROR(OR(NOT(ISNUMBER($D15)),$D15&lt;0,MOD($D15,1)&lt;&gt;0),TRUE),"SALDO FÍSICO INVÁLIDO",IF(IFERROR(OR(NOT(ISNUMBER($E15)),$E15&lt;0,MOD($E15,1)&lt;&gt;0),TRUE),"RESERVAS INVÁLIDAS",IF(AND($F15&lt;&gt;"",IFERROR(OR(NOT(ISNUMBER($F15)),$F15&lt;0,MOD($F15,1)&lt;&gt;0),TRUE)),"ESTOQUE DE SEGURANÇA INVÁLIDO",IF(IFERROR(OR(NOT(ISNUMBER($G15)),$G15&gt;'Configurações'!$B$5),TRUE),"DATA INVÁLIDA",IF($E15&gt;$D15,"RESERVAS MAIORES QUE O SALDO","OK"))))))))))</f>
        <v/>
      </c>
    </row>
    <row r="16">
      <c r="A16" s="21" t="n"/>
      <c r="B16" s="21" t="n"/>
      <c r="C16" s="21" t="n"/>
      <c r="D16" s="22" t="n"/>
      <c r="E16" s="22" t="n"/>
      <c r="F16" s="22" t="n"/>
      <c r="G16" s="23" t="n"/>
      <c r="H16" s="24">
        <f>IF($A16="","",IFERROR(SUMIFS('Conciliação'!$G$6:$G$305,'Conciliação'!$B$6:$B$305,$A16,'Conciliação'!$S$6:$S$305,"OK"),0))</f>
        <v/>
      </c>
      <c r="I16" s="24">
        <f>IF($A16="","",IF(OR(NOT(ISNUMBER($D16)),NOT(ISNUMBER($E16)),AND($F16&lt;&gt;"",NOT(ISNUMBER($F16)))),"",MAX(0,$D16-$E16-$H16-IF($F16="",'Configurações'!$B$2,$F16))))</f>
        <v/>
      </c>
      <c r="J16" s="24">
        <f>IF($A16="","",IFERROR(SUMIFS('Conciliação'!$F$6:$F$305,'Conciliação'!$B$6:$B$305,$A16,'Conciliação'!$S$6:$S$305,"OK"),0))</f>
        <v/>
      </c>
      <c r="K16" s="24">
        <f>IF(OR($I16="",$J16=""),"",MAX(0,$J16-$I16))</f>
        <v/>
      </c>
      <c r="L16" s="25">
        <f>IF($A16="","",IF($C16="Inativo",IF($J16&gt;0,"INATIVO COM PUBLICAÇÃO","INATIVO"),IF($I16="","REVISAR DADOS",IF($K16&gt;0,"EXPOSIÇÃO ACIMA DO DISPONÍVEL",IF($I16=0,"SEM SALDO DISPONÍVEL",IF($G16="","SEM DATA",IF('Configurações'!$B$5-$G16&gt;'Configurações'!$B$4,"ATUALIZAÇÃO VENCIDA","OK")))))))</f>
        <v/>
      </c>
      <c r="M16" s="25">
        <f>IF(COUNTA($A16:$G16)=0,"",IF($A16="","SKU AUSENTE",IF(COUNTIF($A$6:$A$205,$A16)&gt;1,"SKU DUPLICADO",IF($B16="","PRODUTO AUSENTE",IF(AND($C16&lt;&gt;"Ativo",$C16&lt;&gt;"Inativo"),"STATUS INVÁLIDO",IF(IFERROR(OR(NOT(ISNUMBER($D16)),$D16&lt;0,MOD($D16,1)&lt;&gt;0),TRUE),"SALDO FÍSICO INVÁLIDO",IF(IFERROR(OR(NOT(ISNUMBER($E16)),$E16&lt;0,MOD($E16,1)&lt;&gt;0),TRUE),"RESERVAS INVÁLIDAS",IF(AND($F16&lt;&gt;"",IFERROR(OR(NOT(ISNUMBER($F16)),$F16&lt;0,MOD($F16,1)&lt;&gt;0),TRUE)),"ESTOQUE DE SEGURANÇA INVÁLIDO",IF(IFERROR(OR(NOT(ISNUMBER($G16)),$G16&gt;'Configurações'!$B$5),TRUE),"DATA INVÁLIDA",IF($E16&gt;$D16,"RESERVAS MAIORES QUE O SALDO","OK"))))))))))</f>
        <v/>
      </c>
    </row>
    <row r="17">
      <c r="A17" s="21" t="n"/>
      <c r="B17" s="21" t="n"/>
      <c r="C17" s="21" t="n"/>
      <c r="D17" s="22" t="n"/>
      <c r="E17" s="22" t="n"/>
      <c r="F17" s="22" t="n"/>
      <c r="G17" s="23" t="n"/>
      <c r="H17" s="24">
        <f>IF($A17="","",IFERROR(SUMIFS('Conciliação'!$G$6:$G$305,'Conciliação'!$B$6:$B$305,$A17,'Conciliação'!$S$6:$S$305,"OK"),0))</f>
        <v/>
      </c>
      <c r="I17" s="24">
        <f>IF($A17="","",IF(OR(NOT(ISNUMBER($D17)),NOT(ISNUMBER($E17)),AND($F17&lt;&gt;"",NOT(ISNUMBER($F17)))),"",MAX(0,$D17-$E17-$H17-IF($F17="",'Configurações'!$B$2,$F17))))</f>
        <v/>
      </c>
      <c r="J17" s="24">
        <f>IF($A17="","",IFERROR(SUMIFS('Conciliação'!$F$6:$F$305,'Conciliação'!$B$6:$B$305,$A17,'Conciliação'!$S$6:$S$305,"OK"),0))</f>
        <v/>
      </c>
      <c r="K17" s="24">
        <f>IF(OR($I17="",$J17=""),"",MAX(0,$J17-$I17))</f>
        <v/>
      </c>
      <c r="L17" s="25">
        <f>IF($A17="","",IF($C17="Inativo",IF($J17&gt;0,"INATIVO COM PUBLICAÇÃO","INATIVO"),IF($I17="","REVISAR DADOS",IF($K17&gt;0,"EXPOSIÇÃO ACIMA DO DISPONÍVEL",IF($I17=0,"SEM SALDO DISPONÍVEL",IF($G17="","SEM DATA",IF('Configurações'!$B$5-$G17&gt;'Configurações'!$B$4,"ATUALIZAÇÃO VENCIDA","OK")))))))</f>
        <v/>
      </c>
      <c r="M17" s="25">
        <f>IF(COUNTA($A17:$G17)=0,"",IF($A17="","SKU AUSENTE",IF(COUNTIF($A$6:$A$205,$A17)&gt;1,"SKU DUPLICADO",IF($B17="","PRODUTO AUSENTE",IF(AND($C17&lt;&gt;"Ativo",$C17&lt;&gt;"Inativo"),"STATUS INVÁLIDO",IF(IFERROR(OR(NOT(ISNUMBER($D17)),$D17&lt;0,MOD($D17,1)&lt;&gt;0),TRUE),"SALDO FÍSICO INVÁLIDO",IF(IFERROR(OR(NOT(ISNUMBER($E17)),$E17&lt;0,MOD($E17,1)&lt;&gt;0),TRUE),"RESERVAS INVÁLIDAS",IF(AND($F17&lt;&gt;"",IFERROR(OR(NOT(ISNUMBER($F17)),$F17&lt;0,MOD($F17,1)&lt;&gt;0),TRUE)),"ESTOQUE DE SEGURANÇA INVÁLIDO",IF(IFERROR(OR(NOT(ISNUMBER($G17)),$G17&gt;'Configurações'!$B$5),TRUE),"DATA INVÁLIDA",IF($E17&gt;$D17,"RESERVAS MAIORES QUE O SALDO","OK"))))))))))</f>
        <v/>
      </c>
    </row>
    <row r="18">
      <c r="A18" s="21" t="n"/>
      <c r="B18" s="21" t="n"/>
      <c r="C18" s="21" t="n"/>
      <c r="D18" s="22" t="n"/>
      <c r="E18" s="22" t="n"/>
      <c r="F18" s="22" t="n"/>
      <c r="G18" s="23" t="n"/>
      <c r="H18" s="24">
        <f>IF($A18="","",IFERROR(SUMIFS('Conciliação'!$G$6:$G$305,'Conciliação'!$B$6:$B$305,$A18,'Conciliação'!$S$6:$S$305,"OK"),0))</f>
        <v/>
      </c>
      <c r="I18" s="24">
        <f>IF($A18="","",IF(OR(NOT(ISNUMBER($D18)),NOT(ISNUMBER($E18)),AND($F18&lt;&gt;"",NOT(ISNUMBER($F18)))),"",MAX(0,$D18-$E18-$H18-IF($F18="",'Configurações'!$B$2,$F18))))</f>
        <v/>
      </c>
      <c r="J18" s="24">
        <f>IF($A18="","",IFERROR(SUMIFS('Conciliação'!$F$6:$F$305,'Conciliação'!$B$6:$B$305,$A18,'Conciliação'!$S$6:$S$305,"OK"),0))</f>
        <v/>
      </c>
      <c r="K18" s="24">
        <f>IF(OR($I18="",$J18=""),"",MAX(0,$J18-$I18))</f>
        <v/>
      </c>
      <c r="L18" s="25">
        <f>IF($A18="","",IF($C18="Inativo",IF($J18&gt;0,"INATIVO COM PUBLICAÇÃO","INATIVO"),IF($I18="","REVISAR DADOS",IF($K18&gt;0,"EXPOSIÇÃO ACIMA DO DISPONÍVEL",IF($I18=0,"SEM SALDO DISPONÍVEL",IF($G18="","SEM DATA",IF('Configurações'!$B$5-$G18&gt;'Configurações'!$B$4,"ATUALIZAÇÃO VENCIDA","OK")))))))</f>
        <v/>
      </c>
      <c r="M18" s="25">
        <f>IF(COUNTA($A18:$G18)=0,"",IF($A18="","SKU AUSENTE",IF(COUNTIF($A$6:$A$205,$A18)&gt;1,"SKU DUPLICADO",IF($B18="","PRODUTO AUSENTE",IF(AND($C18&lt;&gt;"Ativo",$C18&lt;&gt;"Inativo"),"STATUS INVÁLIDO",IF(IFERROR(OR(NOT(ISNUMBER($D18)),$D18&lt;0,MOD($D18,1)&lt;&gt;0),TRUE),"SALDO FÍSICO INVÁLIDO",IF(IFERROR(OR(NOT(ISNUMBER($E18)),$E18&lt;0,MOD($E18,1)&lt;&gt;0),TRUE),"RESERVAS INVÁLIDAS",IF(AND($F18&lt;&gt;"",IFERROR(OR(NOT(ISNUMBER($F18)),$F18&lt;0,MOD($F18,1)&lt;&gt;0),TRUE)),"ESTOQUE DE SEGURANÇA INVÁLIDO",IF(IFERROR(OR(NOT(ISNUMBER($G18)),$G18&gt;'Configurações'!$B$5),TRUE),"DATA INVÁLIDA",IF($E18&gt;$D18,"RESERVAS MAIORES QUE O SALDO","OK"))))))))))</f>
        <v/>
      </c>
    </row>
    <row r="19">
      <c r="A19" s="21" t="n"/>
      <c r="B19" s="21" t="n"/>
      <c r="C19" s="21" t="n"/>
      <c r="D19" s="22" t="n"/>
      <c r="E19" s="22" t="n"/>
      <c r="F19" s="22" t="n"/>
      <c r="G19" s="23" t="n"/>
      <c r="H19" s="24">
        <f>IF($A19="","",IFERROR(SUMIFS('Conciliação'!$G$6:$G$305,'Conciliação'!$B$6:$B$305,$A19,'Conciliação'!$S$6:$S$305,"OK"),0))</f>
        <v/>
      </c>
      <c r="I19" s="24">
        <f>IF($A19="","",IF(OR(NOT(ISNUMBER($D19)),NOT(ISNUMBER($E19)),AND($F19&lt;&gt;"",NOT(ISNUMBER($F19)))),"",MAX(0,$D19-$E19-$H19-IF($F19="",'Configurações'!$B$2,$F19))))</f>
        <v/>
      </c>
      <c r="J19" s="24">
        <f>IF($A19="","",IFERROR(SUMIFS('Conciliação'!$F$6:$F$305,'Conciliação'!$B$6:$B$305,$A19,'Conciliação'!$S$6:$S$305,"OK"),0))</f>
        <v/>
      </c>
      <c r="K19" s="24">
        <f>IF(OR($I19="",$J19=""),"",MAX(0,$J19-$I19))</f>
        <v/>
      </c>
      <c r="L19" s="25">
        <f>IF($A19="","",IF($C19="Inativo",IF($J19&gt;0,"INATIVO COM PUBLICAÇÃO","INATIVO"),IF($I19="","REVISAR DADOS",IF($K19&gt;0,"EXPOSIÇÃO ACIMA DO DISPONÍVEL",IF($I19=0,"SEM SALDO DISPONÍVEL",IF($G19="","SEM DATA",IF('Configurações'!$B$5-$G19&gt;'Configurações'!$B$4,"ATUALIZAÇÃO VENCIDA","OK")))))))</f>
        <v/>
      </c>
      <c r="M19" s="25">
        <f>IF(COUNTA($A19:$G19)=0,"",IF($A19="","SKU AUSENTE",IF(COUNTIF($A$6:$A$205,$A19)&gt;1,"SKU DUPLICADO",IF($B19="","PRODUTO AUSENTE",IF(AND($C19&lt;&gt;"Ativo",$C19&lt;&gt;"Inativo"),"STATUS INVÁLIDO",IF(IFERROR(OR(NOT(ISNUMBER($D19)),$D19&lt;0,MOD($D19,1)&lt;&gt;0),TRUE),"SALDO FÍSICO INVÁLIDO",IF(IFERROR(OR(NOT(ISNUMBER($E19)),$E19&lt;0,MOD($E19,1)&lt;&gt;0),TRUE),"RESERVAS INVÁLIDAS",IF(AND($F19&lt;&gt;"",IFERROR(OR(NOT(ISNUMBER($F19)),$F19&lt;0,MOD($F19,1)&lt;&gt;0),TRUE)),"ESTOQUE DE SEGURANÇA INVÁLIDO",IF(IFERROR(OR(NOT(ISNUMBER($G19)),$G19&gt;'Configurações'!$B$5),TRUE),"DATA INVÁLIDA",IF($E19&gt;$D19,"RESERVAS MAIORES QUE O SALDO","OK"))))))))))</f>
        <v/>
      </c>
    </row>
    <row r="20">
      <c r="A20" s="21" t="n"/>
      <c r="B20" s="21" t="n"/>
      <c r="C20" s="21" t="n"/>
      <c r="D20" s="22" t="n"/>
      <c r="E20" s="22" t="n"/>
      <c r="F20" s="22" t="n"/>
      <c r="G20" s="23" t="n"/>
      <c r="H20" s="24">
        <f>IF($A20="","",IFERROR(SUMIFS('Conciliação'!$G$6:$G$305,'Conciliação'!$B$6:$B$305,$A20,'Conciliação'!$S$6:$S$305,"OK"),0))</f>
        <v/>
      </c>
      <c r="I20" s="24">
        <f>IF($A20="","",IF(OR(NOT(ISNUMBER($D20)),NOT(ISNUMBER($E20)),AND($F20&lt;&gt;"",NOT(ISNUMBER($F20)))),"",MAX(0,$D20-$E20-$H20-IF($F20="",'Configurações'!$B$2,$F20))))</f>
        <v/>
      </c>
      <c r="J20" s="24">
        <f>IF($A20="","",IFERROR(SUMIFS('Conciliação'!$F$6:$F$305,'Conciliação'!$B$6:$B$305,$A20,'Conciliação'!$S$6:$S$305,"OK"),0))</f>
        <v/>
      </c>
      <c r="K20" s="24">
        <f>IF(OR($I20="",$J20=""),"",MAX(0,$J20-$I20))</f>
        <v/>
      </c>
      <c r="L20" s="25">
        <f>IF($A20="","",IF($C20="Inativo",IF($J20&gt;0,"INATIVO COM PUBLICAÇÃO","INATIVO"),IF($I20="","REVISAR DADOS",IF($K20&gt;0,"EXPOSIÇÃO ACIMA DO DISPONÍVEL",IF($I20=0,"SEM SALDO DISPONÍVEL",IF($G20="","SEM DATA",IF('Configurações'!$B$5-$G20&gt;'Configurações'!$B$4,"ATUALIZAÇÃO VENCIDA","OK")))))))</f>
        <v/>
      </c>
      <c r="M20" s="25">
        <f>IF(COUNTA($A20:$G20)=0,"",IF($A20="","SKU AUSENTE",IF(COUNTIF($A$6:$A$205,$A20)&gt;1,"SKU DUPLICADO",IF($B20="","PRODUTO AUSENTE",IF(AND($C20&lt;&gt;"Ativo",$C20&lt;&gt;"Inativo"),"STATUS INVÁLIDO",IF(IFERROR(OR(NOT(ISNUMBER($D20)),$D20&lt;0,MOD($D20,1)&lt;&gt;0),TRUE),"SALDO FÍSICO INVÁLIDO",IF(IFERROR(OR(NOT(ISNUMBER($E20)),$E20&lt;0,MOD($E20,1)&lt;&gt;0),TRUE),"RESERVAS INVÁLIDAS",IF(AND($F20&lt;&gt;"",IFERROR(OR(NOT(ISNUMBER($F20)),$F20&lt;0,MOD($F20,1)&lt;&gt;0),TRUE)),"ESTOQUE DE SEGURANÇA INVÁLIDO",IF(IFERROR(OR(NOT(ISNUMBER($G20)),$G20&gt;'Configurações'!$B$5),TRUE),"DATA INVÁLIDA",IF($E20&gt;$D20,"RESERVAS MAIORES QUE O SALDO","OK"))))))))))</f>
        <v/>
      </c>
    </row>
    <row r="21">
      <c r="A21" s="21" t="n"/>
      <c r="B21" s="21" t="n"/>
      <c r="C21" s="21" t="n"/>
      <c r="D21" s="22" t="n"/>
      <c r="E21" s="22" t="n"/>
      <c r="F21" s="22" t="n"/>
      <c r="G21" s="23" t="n"/>
      <c r="H21" s="24">
        <f>IF($A21="","",IFERROR(SUMIFS('Conciliação'!$G$6:$G$305,'Conciliação'!$B$6:$B$305,$A21,'Conciliação'!$S$6:$S$305,"OK"),0))</f>
        <v/>
      </c>
      <c r="I21" s="24">
        <f>IF($A21="","",IF(OR(NOT(ISNUMBER($D21)),NOT(ISNUMBER($E21)),AND($F21&lt;&gt;"",NOT(ISNUMBER($F21)))),"",MAX(0,$D21-$E21-$H21-IF($F21="",'Configurações'!$B$2,$F21))))</f>
        <v/>
      </c>
      <c r="J21" s="24">
        <f>IF($A21="","",IFERROR(SUMIFS('Conciliação'!$F$6:$F$305,'Conciliação'!$B$6:$B$305,$A21,'Conciliação'!$S$6:$S$305,"OK"),0))</f>
        <v/>
      </c>
      <c r="K21" s="24">
        <f>IF(OR($I21="",$J21=""),"",MAX(0,$J21-$I21))</f>
        <v/>
      </c>
      <c r="L21" s="25">
        <f>IF($A21="","",IF($C21="Inativo",IF($J21&gt;0,"INATIVO COM PUBLICAÇÃO","INATIVO"),IF($I21="","REVISAR DADOS",IF($K21&gt;0,"EXPOSIÇÃO ACIMA DO DISPONÍVEL",IF($I21=0,"SEM SALDO DISPONÍVEL",IF($G21="","SEM DATA",IF('Configurações'!$B$5-$G21&gt;'Configurações'!$B$4,"ATUALIZAÇÃO VENCIDA","OK")))))))</f>
        <v/>
      </c>
      <c r="M21" s="25">
        <f>IF(COUNTA($A21:$G21)=0,"",IF($A21="","SKU AUSENTE",IF(COUNTIF($A$6:$A$205,$A21)&gt;1,"SKU DUPLICADO",IF($B21="","PRODUTO AUSENTE",IF(AND($C21&lt;&gt;"Ativo",$C21&lt;&gt;"Inativo"),"STATUS INVÁLIDO",IF(IFERROR(OR(NOT(ISNUMBER($D21)),$D21&lt;0,MOD($D21,1)&lt;&gt;0),TRUE),"SALDO FÍSICO INVÁLIDO",IF(IFERROR(OR(NOT(ISNUMBER($E21)),$E21&lt;0,MOD($E21,1)&lt;&gt;0),TRUE),"RESERVAS INVÁLIDAS",IF(AND($F21&lt;&gt;"",IFERROR(OR(NOT(ISNUMBER($F21)),$F21&lt;0,MOD($F21,1)&lt;&gt;0),TRUE)),"ESTOQUE DE SEGURANÇA INVÁLIDO",IF(IFERROR(OR(NOT(ISNUMBER($G21)),$G21&gt;'Configurações'!$B$5),TRUE),"DATA INVÁLIDA",IF($E21&gt;$D21,"RESERVAS MAIORES QUE O SALDO","OK"))))))))))</f>
        <v/>
      </c>
    </row>
    <row r="22">
      <c r="A22" s="21" t="n"/>
      <c r="B22" s="21" t="n"/>
      <c r="C22" s="21" t="n"/>
      <c r="D22" s="22" t="n"/>
      <c r="E22" s="22" t="n"/>
      <c r="F22" s="22" t="n"/>
      <c r="G22" s="23" t="n"/>
      <c r="H22" s="24">
        <f>IF($A22="","",IFERROR(SUMIFS('Conciliação'!$G$6:$G$305,'Conciliação'!$B$6:$B$305,$A22,'Conciliação'!$S$6:$S$305,"OK"),0))</f>
        <v/>
      </c>
      <c r="I22" s="24">
        <f>IF($A22="","",IF(OR(NOT(ISNUMBER($D22)),NOT(ISNUMBER($E22)),AND($F22&lt;&gt;"",NOT(ISNUMBER($F22)))),"",MAX(0,$D22-$E22-$H22-IF($F22="",'Configurações'!$B$2,$F22))))</f>
        <v/>
      </c>
      <c r="J22" s="24">
        <f>IF($A22="","",IFERROR(SUMIFS('Conciliação'!$F$6:$F$305,'Conciliação'!$B$6:$B$305,$A22,'Conciliação'!$S$6:$S$305,"OK"),0))</f>
        <v/>
      </c>
      <c r="K22" s="24">
        <f>IF(OR($I22="",$J22=""),"",MAX(0,$J22-$I22))</f>
        <v/>
      </c>
      <c r="L22" s="25">
        <f>IF($A22="","",IF($C22="Inativo",IF($J22&gt;0,"INATIVO COM PUBLICAÇÃO","INATIVO"),IF($I22="","REVISAR DADOS",IF($K22&gt;0,"EXPOSIÇÃO ACIMA DO DISPONÍVEL",IF($I22=0,"SEM SALDO DISPONÍVEL",IF($G22="","SEM DATA",IF('Configurações'!$B$5-$G22&gt;'Configurações'!$B$4,"ATUALIZAÇÃO VENCIDA","OK")))))))</f>
        <v/>
      </c>
      <c r="M22" s="25">
        <f>IF(COUNTA($A22:$G22)=0,"",IF($A22="","SKU AUSENTE",IF(COUNTIF($A$6:$A$205,$A22)&gt;1,"SKU DUPLICADO",IF($B22="","PRODUTO AUSENTE",IF(AND($C22&lt;&gt;"Ativo",$C22&lt;&gt;"Inativo"),"STATUS INVÁLIDO",IF(IFERROR(OR(NOT(ISNUMBER($D22)),$D22&lt;0,MOD($D22,1)&lt;&gt;0),TRUE),"SALDO FÍSICO INVÁLIDO",IF(IFERROR(OR(NOT(ISNUMBER($E22)),$E22&lt;0,MOD($E22,1)&lt;&gt;0),TRUE),"RESERVAS INVÁLIDAS",IF(AND($F22&lt;&gt;"",IFERROR(OR(NOT(ISNUMBER($F22)),$F22&lt;0,MOD($F22,1)&lt;&gt;0),TRUE)),"ESTOQUE DE SEGURANÇA INVÁLIDO",IF(IFERROR(OR(NOT(ISNUMBER($G22)),$G22&gt;'Configurações'!$B$5),TRUE),"DATA INVÁLIDA",IF($E22&gt;$D22,"RESERVAS MAIORES QUE O SALDO","OK"))))))))))</f>
        <v/>
      </c>
    </row>
    <row r="23">
      <c r="A23" s="21" t="n"/>
      <c r="B23" s="21" t="n"/>
      <c r="C23" s="21" t="n"/>
      <c r="D23" s="22" t="n"/>
      <c r="E23" s="22" t="n"/>
      <c r="F23" s="22" t="n"/>
      <c r="G23" s="23" t="n"/>
      <c r="H23" s="24">
        <f>IF($A23="","",IFERROR(SUMIFS('Conciliação'!$G$6:$G$305,'Conciliação'!$B$6:$B$305,$A23,'Conciliação'!$S$6:$S$305,"OK"),0))</f>
        <v/>
      </c>
      <c r="I23" s="24">
        <f>IF($A23="","",IF(OR(NOT(ISNUMBER($D23)),NOT(ISNUMBER($E23)),AND($F23&lt;&gt;"",NOT(ISNUMBER($F23)))),"",MAX(0,$D23-$E23-$H23-IF($F23="",'Configurações'!$B$2,$F23))))</f>
        <v/>
      </c>
      <c r="J23" s="24">
        <f>IF($A23="","",IFERROR(SUMIFS('Conciliação'!$F$6:$F$305,'Conciliação'!$B$6:$B$305,$A23,'Conciliação'!$S$6:$S$305,"OK"),0))</f>
        <v/>
      </c>
      <c r="K23" s="24">
        <f>IF(OR($I23="",$J23=""),"",MAX(0,$J23-$I23))</f>
        <v/>
      </c>
      <c r="L23" s="25">
        <f>IF($A23="","",IF($C23="Inativo",IF($J23&gt;0,"INATIVO COM PUBLICAÇÃO","INATIVO"),IF($I23="","REVISAR DADOS",IF($K23&gt;0,"EXPOSIÇÃO ACIMA DO DISPONÍVEL",IF($I23=0,"SEM SALDO DISPONÍVEL",IF($G23="","SEM DATA",IF('Configurações'!$B$5-$G23&gt;'Configurações'!$B$4,"ATUALIZAÇÃO VENCIDA","OK")))))))</f>
        <v/>
      </c>
      <c r="M23" s="25">
        <f>IF(COUNTA($A23:$G23)=0,"",IF($A23="","SKU AUSENTE",IF(COUNTIF($A$6:$A$205,$A23)&gt;1,"SKU DUPLICADO",IF($B23="","PRODUTO AUSENTE",IF(AND($C23&lt;&gt;"Ativo",$C23&lt;&gt;"Inativo"),"STATUS INVÁLIDO",IF(IFERROR(OR(NOT(ISNUMBER($D23)),$D23&lt;0,MOD($D23,1)&lt;&gt;0),TRUE),"SALDO FÍSICO INVÁLIDO",IF(IFERROR(OR(NOT(ISNUMBER($E23)),$E23&lt;0,MOD($E23,1)&lt;&gt;0),TRUE),"RESERVAS INVÁLIDAS",IF(AND($F23&lt;&gt;"",IFERROR(OR(NOT(ISNUMBER($F23)),$F23&lt;0,MOD($F23,1)&lt;&gt;0),TRUE)),"ESTOQUE DE SEGURANÇA INVÁLIDO",IF(IFERROR(OR(NOT(ISNUMBER($G23)),$G23&gt;'Configurações'!$B$5),TRUE),"DATA INVÁLIDA",IF($E23&gt;$D23,"RESERVAS MAIORES QUE O SALDO","OK"))))))))))</f>
        <v/>
      </c>
    </row>
    <row r="24">
      <c r="A24" s="21" t="n"/>
      <c r="B24" s="21" t="n"/>
      <c r="C24" s="21" t="n"/>
      <c r="D24" s="22" t="n"/>
      <c r="E24" s="22" t="n"/>
      <c r="F24" s="22" t="n"/>
      <c r="G24" s="23" t="n"/>
      <c r="H24" s="24">
        <f>IF($A24="","",IFERROR(SUMIFS('Conciliação'!$G$6:$G$305,'Conciliação'!$B$6:$B$305,$A24,'Conciliação'!$S$6:$S$305,"OK"),0))</f>
        <v/>
      </c>
      <c r="I24" s="24">
        <f>IF($A24="","",IF(OR(NOT(ISNUMBER($D24)),NOT(ISNUMBER($E24)),AND($F24&lt;&gt;"",NOT(ISNUMBER($F24)))),"",MAX(0,$D24-$E24-$H24-IF($F24="",'Configurações'!$B$2,$F24))))</f>
        <v/>
      </c>
      <c r="J24" s="24">
        <f>IF($A24="","",IFERROR(SUMIFS('Conciliação'!$F$6:$F$305,'Conciliação'!$B$6:$B$305,$A24,'Conciliação'!$S$6:$S$305,"OK"),0))</f>
        <v/>
      </c>
      <c r="K24" s="24">
        <f>IF(OR($I24="",$J24=""),"",MAX(0,$J24-$I24))</f>
        <v/>
      </c>
      <c r="L24" s="25">
        <f>IF($A24="","",IF($C24="Inativo",IF($J24&gt;0,"INATIVO COM PUBLICAÇÃO","INATIVO"),IF($I24="","REVISAR DADOS",IF($K24&gt;0,"EXPOSIÇÃO ACIMA DO DISPONÍVEL",IF($I24=0,"SEM SALDO DISPONÍVEL",IF($G24="","SEM DATA",IF('Configurações'!$B$5-$G24&gt;'Configurações'!$B$4,"ATUALIZAÇÃO VENCIDA","OK")))))))</f>
        <v/>
      </c>
      <c r="M24" s="25">
        <f>IF(COUNTA($A24:$G24)=0,"",IF($A24="","SKU AUSENTE",IF(COUNTIF($A$6:$A$205,$A24)&gt;1,"SKU DUPLICADO",IF($B24="","PRODUTO AUSENTE",IF(AND($C24&lt;&gt;"Ativo",$C24&lt;&gt;"Inativo"),"STATUS INVÁLIDO",IF(IFERROR(OR(NOT(ISNUMBER($D24)),$D24&lt;0,MOD($D24,1)&lt;&gt;0),TRUE),"SALDO FÍSICO INVÁLIDO",IF(IFERROR(OR(NOT(ISNUMBER($E24)),$E24&lt;0,MOD($E24,1)&lt;&gt;0),TRUE),"RESERVAS INVÁLIDAS",IF(AND($F24&lt;&gt;"",IFERROR(OR(NOT(ISNUMBER($F24)),$F24&lt;0,MOD($F24,1)&lt;&gt;0),TRUE)),"ESTOQUE DE SEGURANÇA INVÁLIDO",IF(IFERROR(OR(NOT(ISNUMBER($G24)),$G24&gt;'Configurações'!$B$5),TRUE),"DATA INVÁLIDA",IF($E24&gt;$D24,"RESERVAS MAIORES QUE O SALDO","OK"))))))))))</f>
        <v/>
      </c>
    </row>
    <row r="25">
      <c r="A25" s="21" t="n"/>
      <c r="B25" s="21" t="n"/>
      <c r="C25" s="21" t="n"/>
      <c r="D25" s="22" t="n"/>
      <c r="E25" s="22" t="n"/>
      <c r="F25" s="22" t="n"/>
      <c r="G25" s="23" t="n"/>
      <c r="H25" s="24">
        <f>IF($A25="","",IFERROR(SUMIFS('Conciliação'!$G$6:$G$305,'Conciliação'!$B$6:$B$305,$A25,'Conciliação'!$S$6:$S$305,"OK"),0))</f>
        <v/>
      </c>
      <c r="I25" s="24">
        <f>IF($A25="","",IF(OR(NOT(ISNUMBER($D25)),NOT(ISNUMBER($E25)),AND($F25&lt;&gt;"",NOT(ISNUMBER($F25)))),"",MAX(0,$D25-$E25-$H25-IF($F25="",'Configurações'!$B$2,$F25))))</f>
        <v/>
      </c>
      <c r="J25" s="24">
        <f>IF($A25="","",IFERROR(SUMIFS('Conciliação'!$F$6:$F$305,'Conciliação'!$B$6:$B$305,$A25,'Conciliação'!$S$6:$S$305,"OK"),0))</f>
        <v/>
      </c>
      <c r="K25" s="24">
        <f>IF(OR($I25="",$J25=""),"",MAX(0,$J25-$I25))</f>
        <v/>
      </c>
      <c r="L25" s="25">
        <f>IF($A25="","",IF($C25="Inativo",IF($J25&gt;0,"INATIVO COM PUBLICAÇÃO","INATIVO"),IF($I25="","REVISAR DADOS",IF($K25&gt;0,"EXPOSIÇÃO ACIMA DO DISPONÍVEL",IF($I25=0,"SEM SALDO DISPONÍVEL",IF($G25="","SEM DATA",IF('Configurações'!$B$5-$G25&gt;'Configurações'!$B$4,"ATUALIZAÇÃO VENCIDA","OK")))))))</f>
        <v/>
      </c>
      <c r="M25" s="25">
        <f>IF(COUNTA($A25:$G25)=0,"",IF($A25="","SKU AUSENTE",IF(COUNTIF($A$6:$A$205,$A25)&gt;1,"SKU DUPLICADO",IF($B25="","PRODUTO AUSENTE",IF(AND($C25&lt;&gt;"Ativo",$C25&lt;&gt;"Inativo"),"STATUS INVÁLIDO",IF(IFERROR(OR(NOT(ISNUMBER($D25)),$D25&lt;0,MOD($D25,1)&lt;&gt;0),TRUE),"SALDO FÍSICO INVÁLIDO",IF(IFERROR(OR(NOT(ISNUMBER($E25)),$E25&lt;0,MOD($E25,1)&lt;&gt;0),TRUE),"RESERVAS INVÁLIDAS",IF(AND($F25&lt;&gt;"",IFERROR(OR(NOT(ISNUMBER($F25)),$F25&lt;0,MOD($F25,1)&lt;&gt;0),TRUE)),"ESTOQUE DE SEGURANÇA INVÁLIDO",IF(IFERROR(OR(NOT(ISNUMBER($G25)),$G25&gt;'Configurações'!$B$5),TRUE),"DATA INVÁLIDA",IF($E25&gt;$D25,"RESERVAS MAIORES QUE O SALDO","OK"))))))))))</f>
        <v/>
      </c>
    </row>
    <row r="26">
      <c r="A26" s="21" t="n"/>
      <c r="B26" s="21" t="n"/>
      <c r="C26" s="21" t="n"/>
      <c r="D26" s="22" t="n"/>
      <c r="E26" s="22" t="n"/>
      <c r="F26" s="22" t="n"/>
      <c r="G26" s="23" t="n"/>
      <c r="H26" s="24">
        <f>IF($A26="","",IFERROR(SUMIFS('Conciliação'!$G$6:$G$305,'Conciliação'!$B$6:$B$305,$A26,'Conciliação'!$S$6:$S$305,"OK"),0))</f>
        <v/>
      </c>
      <c r="I26" s="24">
        <f>IF($A26="","",IF(OR(NOT(ISNUMBER($D26)),NOT(ISNUMBER($E26)),AND($F26&lt;&gt;"",NOT(ISNUMBER($F26)))),"",MAX(0,$D26-$E26-$H26-IF($F26="",'Configurações'!$B$2,$F26))))</f>
        <v/>
      </c>
      <c r="J26" s="24">
        <f>IF($A26="","",IFERROR(SUMIFS('Conciliação'!$F$6:$F$305,'Conciliação'!$B$6:$B$305,$A26,'Conciliação'!$S$6:$S$305,"OK"),0))</f>
        <v/>
      </c>
      <c r="K26" s="24">
        <f>IF(OR($I26="",$J26=""),"",MAX(0,$J26-$I26))</f>
        <v/>
      </c>
      <c r="L26" s="25">
        <f>IF($A26="","",IF($C26="Inativo",IF($J26&gt;0,"INATIVO COM PUBLICAÇÃO","INATIVO"),IF($I26="","REVISAR DADOS",IF($K26&gt;0,"EXPOSIÇÃO ACIMA DO DISPONÍVEL",IF($I26=0,"SEM SALDO DISPONÍVEL",IF($G26="","SEM DATA",IF('Configurações'!$B$5-$G26&gt;'Configurações'!$B$4,"ATUALIZAÇÃO VENCIDA","OK")))))))</f>
        <v/>
      </c>
      <c r="M26" s="25">
        <f>IF(COUNTA($A26:$G26)=0,"",IF($A26="","SKU AUSENTE",IF(COUNTIF($A$6:$A$205,$A26)&gt;1,"SKU DUPLICADO",IF($B26="","PRODUTO AUSENTE",IF(AND($C26&lt;&gt;"Ativo",$C26&lt;&gt;"Inativo"),"STATUS INVÁLIDO",IF(IFERROR(OR(NOT(ISNUMBER($D26)),$D26&lt;0,MOD($D26,1)&lt;&gt;0),TRUE),"SALDO FÍSICO INVÁLIDO",IF(IFERROR(OR(NOT(ISNUMBER($E26)),$E26&lt;0,MOD($E26,1)&lt;&gt;0),TRUE),"RESERVAS INVÁLIDAS",IF(AND($F26&lt;&gt;"",IFERROR(OR(NOT(ISNUMBER($F26)),$F26&lt;0,MOD($F26,1)&lt;&gt;0),TRUE)),"ESTOQUE DE SEGURANÇA INVÁLIDO",IF(IFERROR(OR(NOT(ISNUMBER($G26)),$G26&gt;'Configurações'!$B$5),TRUE),"DATA INVÁLIDA",IF($E26&gt;$D26,"RESERVAS MAIORES QUE O SALDO","OK"))))))))))</f>
        <v/>
      </c>
    </row>
    <row r="27">
      <c r="A27" s="21" t="n"/>
      <c r="B27" s="21" t="n"/>
      <c r="C27" s="21" t="n"/>
      <c r="D27" s="22" t="n"/>
      <c r="E27" s="22" t="n"/>
      <c r="F27" s="22" t="n"/>
      <c r="G27" s="23" t="n"/>
      <c r="H27" s="24">
        <f>IF($A27="","",IFERROR(SUMIFS('Conciliação'!$G$6:$G$305,'Conciliação'!$B$6:$B$305,$A27,'Conciliação'!$S$6:$S$305,"OK"),0))</f>
        <v/>
      </c>
      <c r="I27" s="24">
        <f>IF($A27="","",IF(OR(NOT(ISNUMBER($D27)),NOT(ISNUMBER($E27)),AND($F27&lt;&gt;"",NOT(ISNUMBER($F27)))),"",MAX(0,$D27-$E27-$H27-IF($F27="",'Configurações'!$B$2,$F27))))</f>
        <v/>
      </c>
      <c r="J27" s="24">
        <f>IF($A27="","",IFERROR(SUMIFS('Conciliação'!$F$6:$F$305,'Conciliação'!$B$6:$B$305,$A27,'Conciliação'!$S$6:$S$305,"OK"),0))</f>
        <v/>
      </c>
      <c r="K27" s="24">
        <f>IF(OR($I27="",$J27=""),"",MAX(0,$J27-$I27))</f>
        <v/>
      </c>
      <c r="L27" s="25">
        <f>IF($A27="","",IF($C27="Inativo",IF($J27&gt;0,"INATIVO COM PUBLICAÇÃO","INATIVO"),IF($I27="","REVISAR DADOS",IF($K27&gt;0,"EXPOSIÇÃO ACIMA DO DISPONÍVEL",IF($I27=0,"SEM SALDO DISPONÍVEL",IF($G27="","SEM DATA",IF('Configurações'!$B$5-$G27&gt;'Configurações'!$B$4,"ATUALIZAÇÃO VENCIDA","OK")))))))</f>
        <v/>
      </c>
      <c r="M27" s="25">
        <f>IF(COUNTA($A27:$G27)=0,"",IF($A27="","SKU AUSENTE",IF(COUNTIF($A$6:$A$205,$A27)&gt;1,"SKU DUPLICADO",IF($B27="","PRODUTO AUSENTE",IF(AND($C27&lt;&gt;"Ativo",$C27&lt;&gt;"Inativo"),"STATUS INVÁLIDO",IF(IFERROR(OR(NOT(ISNUMBER($D27)),$D27&lt;0,MOD($D27,1)&lt;&gt;0),TRUE),"SALDO FÍSICO INVÁLIDO",IF(IFERROR(OR(NOT(ISNUMBER($E27)),$E27&lt;0,MOD($E27,1)&lt;&gt;0),TRUE),"RESERVAS INVÁLIDAS",IF(AND($F27&lt;&gt;"",IFERROR(OR(NOT(ISNUMBER($F27)),$F27&lt;0,MOD($F27,1)&lt;&gt;0),TRUE)),"ESTOQUE DE SEGURANÇA INVÁLIDO",IF(IFERROR(OR(NOT(ISNUMBER($G27)),$G27&gt;'Configurações'!$B$5),TRUE),"DATA INVÁLIDA",IF($E27&gt;$D27,"RESERVAS MAIORES QUE O SALDO","OK"))))))))))</f>
        <v/>
      </c>
    </row>
    <row r="28">
      <c r="A28" s="21" t="n"/>
      <c r="B28" s="21" t="n"/>
      <c r="C28" s="21" t="n"/>
      <c r="D28" s="22" t="n"/>
      <c r="E28" s="22" t="n"/>
      <c r="F28" s="22" t="n"/>
      <c r="G28" s="23" t="n"/>
      <c r="H28" s="24">
        <f>IF($A28="","",IFERROR(SUMIFS('Conciliação'!$G$6:$G$305,'Conciliação'!$B$6:$B$305,$A28,'Conciliação'!$S$6:$S$305,"OK"),0))</f>
        <v/>
      </c>
      <c r="I28" s="24">
        <f>IF($A28="","",IF(OR(NOT(ISNUMBER($D28)),NOT(ISNUMBER($E28)),AND($F28&lt;&gt;"",NOT(ISNUMBER($F28)))),"",MAX(0,$D28-$E28-$H28-IF($F28="",'Configurações'!$B$2,$F28))))</f>
        <v/>
      </c>
      <c r="J28" s="24">
        <f>IF($A28="","",IFERROR(SUMIFS('Conciliação'!$F$6:$F$305,'Conciliação'!$B$6:$B$305,$A28,'Conciliação'!$S$6:$S$305,"OK"),0))</f>
        <v/>
      </c>
      <c r="K28" s="24">
        <f>IF(OR($I28="",$J28=""),"",MAX(0,$J28-$I28))</f>
        <v/>
      </c>
      <c r="L28" s="25">
        <f>IF($A28="","",IF($C28="Inativo",IF($J28&gt;0,"INATIVO COM PUBLICAÇÃO","INATIVO"),IF($I28="","REVISAR DADOS",IF($K28&gt;0,"EXPOSIÇÃO ACIMA DO DISPONÍVEL",IF($I28=0,"SEM SALDO DISPONÍVEL",IF($G28="","SEM DATA",IF('Configurações'!$B$5-$G28&gt;'Configurações'!$B$4,"ATUALIZAÇÃO VENCIDA","OK")))))))</f>
        <v/>
      </c>
      <c r="M28" s="25">
        <f>IF(COUNTA($A28:$G28)=0,"",IF($A28="","SKU AUSENTE",IF(COUNTIF($A$6:$A$205,$A28)&gt;1,"SKU DUPLICADO",IF($B28="","PRODUTO AUSENTE",IF(AND($C28&lt;&gt;"Ativo",$C28&lt;&gt;"Inativo"),"STATUS INVÁLIDO",IF(IFERROR(OR(NOT(ISNUMBER($D28)),$D28&lt;0,MOD($D28,1)&lt;&gt;0),TRUE),"SALDO FÍSICO INVÁLIDO",IF(IFERROR(OR(NOT(ISNUMBER($E28)),$E28&lt;0,MOD($E28,1)&lt;&gt;0),TRUE),"RESERVAS INVÁLIDAS",IF(AND($F28&lt;&gt;"",IFERROR(OR(NOT(ISNUMBER($F28)),$F28&lt;0,MOD($F28,1)&lt;&gt;0),TRUE)),"ESTOQUE DE SEGURANÇA INVÁLIDO",IF(IFERROR(OR(NOT(ISNUMBER($G28)),$G28&gt;'Configurações'!$B$5),TRUE),"DATA INVÁLIDA",IF($E28&gt;$D28,"RESERVAS MAIORES QUE O SALDO","OK"))))))))))</f>
        <v/>
      </c>
    </row>
    <row r="29">
      <c r="A29" s="21" t="n"/>
      <c r="B29" s="21" t="n"/>
      <c r="C29" s="21" t="n"/>
      <c r="D29" s="22" t="n"/>
      <c r="E29" s="22" t="n"/>
      <c r="F29" s="22" t="n"/>
      <c r="G29" s="23" t="n"/>
      <c r="H29" s="24">
        <f>IF($A29="","",IFERROR(SUMIFS('Conciliação'!$G$6:$G$305,'Conciliação'!$B$6:$B$305,$A29,'Conciliação'!$S$6:$S$305,"OK"),0))</f>
        <v/>
      </c>
      <c r="I29" s="24">
        <f>IF($A29="","",IF(OR(NOT(ISNUMBER($D29)),NOT(ISNUMBER($E29)),AND($F29&lt;&gt;"",NOT(ISNUMBER($F29)))),"",MAX(0,$D29-$E29-$H29-IF($F29="",'Configurações'!$B$2,$F29))))</f>
        <v/>
      </c>
      <c r="J29" s="24">
        <f>IF($A29="","",IFERROR(SUMIFS('Conciliação'!$F$6:$F$305,'Conciliação'!$B$6:$B$305,$A29,'Conciliação'!$S$6:$S$305,"OK"),0))</f>
        <v/>
      </c>
      <c r="K29" s="24">
        <f>IF(OR($I29="",$J29=""),"",MAX(0,$J29-$I29))</f>
        <v/>
      </c>
      <c r="L29" s="25">
        <f>IF($A29="","",IF($C29="Inativo",IF($J29&gt;0,"INATIVO COM PUBLICAÇÃO","INATIVO"),IF($I29="","REVISAR DADOS",IF($K29&gt;0,"EXPOSIÇÃO ACIMA DO DISPONÍVEL",IF($I29=0,"SEM SALDO DISPONÍVEL",IF($G29="","SEM DATA",IF('Configurações'!$B$5-$G29&gt;'Configurações'!$B$4,"ATUALIZAÇÃO VENCIDA","OK")))))))</f>
        <v/>
      </c>
      <c r="M29" s="25">
        <f>IF(COUNTA($A29:$G29)=0,"",IF($A29="","SKU AUSENTE",IF(COUNTIF($A$6:$A$205,$A29)&gt;1,"SKU DUPLICADO",IF($B29="","PRODUTO AUSENTE",IF(AND($C29&lt;&gt;"Ativo",$C29&lt;&gt;"Inativo"),"STATUS INVÁLIDO",IF(IFERROR(OR(NOT(ISNUMBER($D29)),$D29&lt;0,MOD($D29,1)&lt;&gt;0),TRUE),"SALDO FÍSICO INVÁLIDO",IF(IFERROR(OR(NOT(ISNUMBER($E29)),$E29&lt;0,MOD($E29,1)&lt;&gt;0),TRUE),"RESERVAS INVÁLIDAS",IF(AND($F29&lt;&gt;"",IFERROR(OR(NOT(ISNUMBER($F29)),$F29&lt;0,MOD($F29,1)&lt;&gt;0),TRUE)),"ESTOQUE DE SEGURANÇA INVÁLIDO",IF(IFERROR(OR(NOT(ISNUMBER($G29)),$G29&gt;'Configurações'!$B$5),TRUE),"DATA INVÁLIDA",IF($E29&gt;$D29,"RESERVAS MAIORES QUE O SALDO","OK"))))))))))</f>
        <v/>
      </c>
    </row>
    <row r="30">
      <c r="A30" s="21" t="n"/>
      <c r="B30" s="21" t="n"/>
      <c r="C30" s="21" t="n"/>
      <c r="D30" s="22" t="n"/>
      <c r="E30" s="22" t="n"/>
      <c r="F30" s="22" t="n"/>
      <c r="G30" s="23" t="n"/>
      <c r="H30" s="24">
        <f>IF($A30="","",IFERROR(SUMIFS('Conciliação'!$G$6:$G$305,'Conciliação'!$B$6:$B$305,$A30,'Conciliação'!$S$6:$S$305,"OK"),0))</f>
        <v/>
      </c>
      <c r="I30" s="24">
        <f>IF($A30="","",IF(OR(NOT(ISNUMBER($D30)),NOT(ISNUMBER($E30)),AND($F30&lt;&gt;"",NOT(ISNUMBER($F30)))),"",MAX(0,$D30-$E30-$H30-IF($F30="",'Configurações'!$B$2,$F30))))</f>
        <v/>
      </c>
      <c r="J30" s="24">
        <f>IF($A30="","",IFERROR(SUMIFS('Conciliação'!$F$6:$F$305,'Conciliação'!$B$6:$B$305,$A30,'Conciliação'!$S$6:$S$305,"OK"),0))</f>
        <v/>
      </c>
      <c r="K30" s="24">
        <f>IF(OR($I30="",$J30=""),"",MAX(0,$J30-$I30))</f>
        <v/>
      </c>
      <c r="L30" s="25">
        <f>IF($A30="","",IF($C30="Inativo",IF($J30&gt;0,"INATIVO COM PUBLICAÇÃO","INATIVO"),IF($I30="","REVISAR DADOS",IF($K30&gt;0,"EXPOSIÇÃO ACIMA DO DISPONÍVEL",IF($I30=0,"SEM SALDO DISPONÍVEL",IF($G30="","SEM DATA",IF('Configurações'!$B$5-$G30&gt;'Configurações'!$B$4,"ATUALIZAÇÃO VENCIDA","OK")))))))</f>
        <v/>
      </c>
      <c r="M30" s="25">
        <f>IF(COUNTA($A30:$G30)=0,"",IF($A30="","SKU AUSENTE",IF(COUNTIF($A$6:$A$205,$A30)&gt;1,"SKU DUPLICADO",IF($B30="","PRODUTO AUSENTE",IF(AND($C30&lt;&gt;"Ativo",$C30&lt;&gt;"Inativo"),"STATUS INVÁLIDO",IF(IFERROR(OR(NOT(ISNUMBER($D30)),$D30&lt;0,MOD($D30,1)&lt;&gt;0),TRUE),"SALDO FÍSICO INVÁLIDO",IF(IFERROR(OR(NOT(ISNUMBER($E30)),$E30&lt;0,MOD($E30,1)&lt;&gt;0),TRUE),"RESERVAS INVÁLIDAS",IF(AND($F30&lt;&gt;"",IFERROR(OR(NOT(ISNUMBER($F30)),$F30&lt;0,MOD($F30,1)&lt;&gt;0),TRUE)),"ESTOQUE DE SEGURANÇA INVÁLIDO",IF(IFERROR(OR(NOT(ISNUMBER($G30)),$G30&gt;'Configurações'!$B$5),TRUE),"DATA INVÁLIDA",IF($E30&gt;$D30,"RESERVAS MAIORES QUE O SALDO","OK"))))))))))</f>
        <v/>
      </c>
    </row>
    <row r="31">
      <c r="A31" s="21" t="n"/>
      <c r="B31" s="21" t="n"/>
      <c r="C31" s="21" t="n"/>
      <c r="D31" s="22" t="n"/>
      <c r="E31" s="22" t="n"/>
      <c r="F31" s="22" t="n"/>
      <c r="G31" s="23" t="n"/>
      <c r="H31" s="24">
        <f>IF($A31="","",IFERROR(SUMIFS('Conciliação'!$G$6:$G$305,'Conciliação'!$B$6:$B$305,$A31,'Conciliação'!$S$6:$S$305,"OK"),0))</f>
        <v/>
      </c>
      <c r="I31" s="24">
        <f>IF($A31="","",IF(OR(NOT(ISNUMBER($D31)),NOT(ISNUMBER($E31)),AND($F31&lt;&gt;"",NOT(ISNUMBER($F31)))),"",MAX(0,$D31-$E31-$H31-IF($F31="",'Configurações'!$B$2,$F31))))</f>
        <v/>
      </c>
      <c r="J31" s="24">
        <f>IF($A31="","",IFERROR(SUMIFS('Conciliação'!$F$6:$F$305,'Conciliação'!$B$6:$B$305,$A31,'Conciliação'!$S$6:$S$305,"OK"),0))</f>
        <v/>
      </c>
      <c r="K31" s="24">
        <f>IF(OR($I31="",$J31=""),"",MAX(0,$J31-$I31))</f>
        <v/>
      </c>
      <c r="L31" s="25">
        <f>IF($A31="","",IF($C31="Inativo",IF($J31&gt;0,"INATIVO COM PUBLICAÇÃO","INATIVO"),IF($I31="","REVISAR DADOS",IF($K31&gt;0,"EXPOSIÇÃO ACIMA DO DISPONÍVEL",IF($I31=0,"SEM SALDO DISPONÍVEL",IF($G31="","SEM DATA",IF('Configurações'!$B$5-$G31&gt;'Configurações'!$B$4,"ATUALIZAÇÃO VENCIDA","OK")))))))</f>
        <v/>
      </c>
      <c r="M31" s="25">
        <f>IF(COUNTA($A31:$G31)=0,"",IF($A31="","SKU AUSENTE",IF(COUNTIF($A$6:$A$205,$A31)&gt;1,"SKU DUPLICADO",IF($B31="","PRODUTO AUSENTE",IF(AND($C31&lt;&gt;"Ativo",$C31&lt;&gt;"Inativo"),"STATUS INVÁLIDO",IF(IFERROR(OR(NOT(ISNUMBER($D31)),$D31&lt;0,MOD($D31,1)&lt;&gt;0),TRUE),"SALDO FÍSICO INVÁLIDO",IF(IFERROR(OR(NOT(ISNUMBER($E31)),$E31&lt;0,MOD($E31,1)&lt;&gt;0),TRUE),"RESERVAS INVÁLIDAS",IF(AND($F31&lt;&gt;"",IFERROR(OR(NOT(ISNUMBER($F31)),$F31&lt;0,MOD($F31,1)&lt;&gt;0),TRUE)),"ESTOQUE DE SEGURANÇA INVÁLIDO",IF(IFERROR(OR(NOT(ISNUMBER($G31)),$G31&gt;'Configurações'!$B$5),TRUE),"DATA INVÁLIDA",IF($E31&gt;$D31,"RESERVAS MAIORES QUE O SALDO","OK"))))))))))</f>
        <v/>
      </c>
    </row>
    <row r="32">
      <c r="A32" s="21" t="n"/>
      <c r="B32" s="21" t="n"/>
      <c r="C32" s="21" t="n"/>
      <c r="D32" s="22" t="n"/>
      <c r="E32" s="22" t="n"/>
      <c r="F32" s="22" t="n"/>
      <c r="G32" s="23" t="n"/>
      <c r="H32" s="24">
        <f>IF($A32="","",IFERROR(SUMIFS('Conciliação'!$G$6:$G$305,'Conciliação'!$B$6:$B$305,$A32,'Conciliação'!$S$6:$S$305,"OK"),0))</f>
        <v/>
      </c>
      <c r="I32" s="24">
        <f>IF($A32="","",IF(OR(NOT(ISNUMBER($D32)),NOT(ISNUMBER($E32)),AND($F32&lt;&gt;"",NOT(ISNUMBER($F32)))),"",MAX(0,$D32-$E32-$H32-IF($F32="",'Configurações'!$B$2,$F32))))</f>
        <v/>
      </c>
      <c r="J32" s="24">
        <f>IF($A32="","",IFERROR(SUMIFS('Conciliação'!$F$6:$F$305,'Conciliação'!$B$6:$B$305,$A32,'Conciliação'!$S$6:$S$305,"OK"),0))</f>
        <v/>
      </c>
      <c r="K32" s="24">
        <f>IF(OR($I32="",$J32=""),"",MAX(0,$J32-$I32))</f>
        <v/>
      </c>
      <c r="L32" s="25">
        <f>IF($A32="","",IF($C32="Inativo",IF($J32&gt;0,"INATIVO COM PUBLICAÇÃO","INATIVO"),IF($I32="","REVISAR DADOS",IF($K32&gt;0,"EXPOSIÇÃO ACIMA DO DISPONÍVEL",IF($I32=0,"SEM SALDO DISPONÍVEL",IF($G32="","SEM DATA",IF('Configurações'!$B$5-$G32&gt;'Configurações'!$B$4,"ATUALIZAÇÃO VENCIDA","OK")))))))</f>
        <v/>
      </c>
      <c r="M32" s="25">
        <f>IF(COUNTA($A32:$G32)=0,"",IF($A32="","SKU AUSENTE",IF(COUNTIF($A$6:$A$205,$A32)&gt;1,"SKU DUPLICADO",IF($B32="","PRODUTO AUSENTE",IF(AND($C32&lt;&gt;"Ativo",$C32&lt;&gt;"Inativo"),"STATUS INVÁLIDO",IF(IFERROR(OR(NOT(ISNUMBER($D32)),$D32&lt;0,MOD($D32,1)&lt;&gt;0),TRUE),"SALDO FÍSICO INVÁLIDO",IF(IFERROR(OR(NOT(ISNUMBER($E32)),$E32&lt;0,MOD($E32,1)&lt;&gt;0),TRUE),"RESERVAS INVÁLIDAS",IF(AND($F32&lt;&gt;"",IFERROR(OR(NOT(ISNUMBER($F32)),$F32&lt;0,MOD($F32,1)&lt;&gt;0),TRUE)),"ESTOQUE DE SEGURANÇA INVÁLIDO",IF(IFERROR(OR(NOT(ISNUMBER($G32)),$G32&gt;'Configurações'!$B$5),TRUE),"DATA INVÁLIDA",IF($E32&gt;$D32,"RESERVAS MAIORES QUE O SALDO","OK"))))))))))</f>
        <v/>
      </c>
    </row>
    <row r="33">
      <c r="A33" s="21" t="n"/>
      <c r="B33" s="21" t="n"/>
      <c r="C33" s="21" t="n"/>
      <c r="D33" s="22" t="n"/>
      <c r="E33" s="22" t="n"/>
      <c r="F33" s="22" t="n"/>
      <c r="G33" s="23" t="n"/>
      <c r="H33" s="24">
        <f>IF($A33="","",IFERROR(SUMIFS('Conciliação'!$G$6:$G$305,'Conciliação'!$B$6:$B$305,$A33,'Conciliação'!$S$6:$S$305,"OK"),0))</f>
        <v/>
      </c>
      <c r="I33" s="24">
        <f>IF($A33="","",IF(OR(NOT(ISNUMBER($D33)),NOT(ISNUMBER($E33)),AND($F33&lt;&gt;"",NOT(ISNUMBER($F33)))),"",MAX(0,$D33-$E33-$H33-IF($F33="",'Configurações'!$B$2,$F33))))</f>
        <v/>
      </c>
      <c r="J33" s="24">
        <f>IF($A33="","",IFERROR(SUMIFS('Conciliação'!$F$6:$F$305,'Conciliação'!$B$6:$B$305,$A33,'Conciliação'!$S$6:$S$305,"OK"),0))</f>
        <v/>
      </c>
      <c r="K33" s="24">
        <f>IF(OR($I33="",$J33=""),"",MAX(0,$J33-$I33))</f>
        <v/>
      </c>
      <c r="L33" s="25">
        <f>IF($A33="","",IF($C33="Inativo",IF($J33&gt;0,"INATIVO COM PUBLICAÇÃO","INATIVO"),IF($I33="","REVISAR DADOS",IF($K33&gt;0,"EXPOSIÇÃO ACIMA DO DISPONÍVEL",IF($I33=0,"SEM SALDO DISPONÍVEL",IF($G33="","SEM DATA",IF('Configurações'!$B$5-$G33&gt;'Configurações'!$B$4,"ATUALIZAÇÃO VENCIDA","OK")))))))</f>
        <v/>
      </c>
      <c r="M33" s="25">
        <f>IF(COUNTA($A33:$G33)=0,"",IF($A33="","SKU AUSENTE",IF(COUNTIF($A$6:$A$205,$A33)&gt;1,"SKU DUPLICADO",IF($B33="","PRODUTO AUSENTE",IF(AND($C33&lt;&gt;"Ativo",$C33&lt;&gt;"Inativo"),"STATUS INVÁLIDO",IF(IFERROR(OR(NOT(ISNUMBER($D33)),$D33&lt;0,MOD($D33,1)&lt;&gt;0),TRUE),"SALDO FÍSICO INVÁLIDO",IF(IFERROR(OR(NOT(ISNUMBER($E33)),$E33&lt;0,MOD($E33,1)&lt;&gt;0),TRUE),"RESERVAS INVÁLIDAS",IF(AND($F33&lt;&gt;"",IFERROR(OR(NOT(ISNUMBER($F33)),$F33&lt;0,MOD($F33,1)&lt;&gt;0),TRUE)),"ESTOQUE DE SEGURANÇA INVÁLIDO",IF(IFERROR(OR(NOT(ISNUMBER($G33)),$G33&gt;'Configurações'!$B$5),TRUE),"DATA INVÁLIDA",IF($E33&gt;$D33,"RESERVAS MAIORES QUE O SALDO","OK"))))))))))</f>
        <v/>
      </c>
    </row>
    <row r="34">
      <c r="A34" s="21" t="n"/>
      <c r="B34" s="21" t="n"/>
      <c r="C34" s="21" t="n"/>
      <c r="D34" s="22" t="n"/>
      <c r="E34" s="22" t="n"/>
      <c r="F34" s="22" t="n"/>
      <c r="G34" s="23" t="n"/>
      <c r="H34" s="24">
        <f>IF($A34="","",IFERROR(SUMIFS('Conciliação'!$G$6:$G$305,'Conciliação'!$B$6:$B$305,$A34,'Conciliação'!$S$6:$S$305,"OK"),0))</f>
        <v/>
      </c>
      <c r="I34" s="24">
        <f>IF($A34="","",IF(OR(NOT(ISNUMBER($D34)),NOT(ISNUMBER($E34)),AND($F34&lt;&gt;"",NOT(ISNUMBER($F34)))),"",MAX(0,$D34-$E34-$H34-IF($F34="",'Configurações'!$B$2,$F34))))</f>
        <v/>
      </c>
      <c r="J34" s="24">
        <f>IF($A34="","",IFERROR(SUMIFS('Conciliação'!$F$6:$F$305,'Conciliação'!$B$6:$B$305,$A34,'Conciliação'!$S$6:$S$305,"OK"),0))</f>
        <v/>
      </c>
      <c r="K34" s="24">
        <f>IF(OR($I34="",$J34=""),"",MAX(0,$J34-$I34))</f>
        <v/>
      </c>
      <c r="L34" s="25">
        <f>IF($A34="","",IF($C34="Inativo",IF($J34&gt;0,"INATIVO COM PUBLICAÇÃO","INATIVO"),IF($I34="","REVISAR DADOS",IF($K34&gt;0,"EXPOSIÇÃO ACIMA DO DISPONÍVEL",IF($I34=0,"SEM SALDO DISPONÍVEL",IF($G34="","SEM DATA",IF('Configurações'!$B$5-$G34&gt;'Configurações'!$B$4,"ATUALIZAÇÃO VENCIDA","OK")))))))</f>
        <v/>
      </c>
      <c r="M34" s="25">
        <f>IF(COUNTA($A34:$G34)=0,"",IF($A34="","SKU AUSENTE",IF(COUNTIF($A$6:$A$205,$A34)&gt;1,"SKU DUPLICADO",IF($B34="","PRODUTO AUSENTE",IF(AND($C34&lt;&gt;"Ativo",$C34&lt;&gt;"Inativo"),"STATUS INVÁLIDO",IF(IFERROR(OR(NOT(ISNUMBER($D34)),$D34&lt;0,MOD($D34,1)&lt;&gt;0),TRUE),"SALDO FÍSICO INVÁLIDO",IF(IFERROR(OR(NOT(ISNUMBER($E34)),$E34&lt;0,MOD($E34,1)&lt;&gt;0),TRUE),"RESERVAS INVÁLIDAS",IF(AND($F34&lt;&gt;"",IFERROR(OR(NOT(ISNUMBER($F34)),$F34&lt;0,MOD($F34,1)&lt;&gt;0),TRUE)),"ESTOQUE DE SEGURANÇA INVÁLIDO",IF(IFERROR(OR(NOT(ISNUMBER($G34)),$G34&gt;'Configurações'!$B$5),TRUE),"DATA INVÁLIDA",IF($E34&gt;$D34,"RESERVAS MAIORES QUE O SALDO","OK"))))))))))</f>
        <v/>
      </c>
    </row>
    <row r="35">
      <c r="A35" s="21" t="n"/>
      <c r="B35" s="21" t="n"/>
      <c r="C35" s="21" t="n"/>
      <c r="D35" s="22" t="n"/>
      <c r="E35" s="22" t="n"/>
      <c r="F35" s="22" t="n"/>
      <c r="G35" s="23" t="n"/>
      <c r="H35" s="24">
        <f>IF($A35="","",IFERROR(SUMIFS('Conciliação'!$G$6:$G$305,'Conciliação'!$B$6:$B$305,$A35,'Conciliação'!$S$6:$S$305,"OK"),0))</f>
        <v/>
      </c>
      <c r="I35" s="24">
        <f>IF($A35="","",IF(OR(NOT(ISNUMBER($D35)),NOT(ISNUMBER($E35)),AND($F35&lt;&gt;"",NOT(ISNUMBER($F35)))),"",MAX(0,$D35-$E35-$H35-IF($F35="",'Configurações'!$B$2,$F35))))</f>
        <v/>
      </c>
      <c r="J35" s="24">
        <f>IF($A35="","",IFERROR(SUMIFS('Conciliação'!$F$6:$F$305,'Conciliação'!$B$6:$B$305,$A35,'Conciliação'!$S$6:$S$305,"OK"),0))</f>
        <v/>
      </c>
      <c r="K35" s="24">
        <f>IF(OR($I35="",$J35=""),"",MAX(0,$J35-$I35))</f>
        <v/>
      </c>
      <c r="L35" s="25">
        <f>IF($A35="","",IF($C35="Inativo",IF($J35&gt;0,"INATIVO COM PUBLICAÇÃO","INATIVO"),IF($I35="","REVISAR DADOS",IF($K35&gt;0,"EXPOSIÇÃO ACIMA DO DISPONÍVEL",IF($I35=0,"SEM SALDO DISPONÍVEL",IF($G35="","SEM DATA",IF('Configurações'!$B$5-$G35&gt;'Configurações'!$B$4,"ATUALIZAÇÃO VENCIDA","OK")))))))</f>
        <v/>
      </c>
      <c r="M35" s="25">
        <f>IF(COUNTA($A35:$G35)=0,"",IF($A35="","SKU AUSENTE",IF(COUNTIF($A$6:$A$205,$A35)&gt;1,"SKU DUPLICADO",IF($B35="","PRODUTO AUSENTE",IF(AND($C35&lt;&gt;"Ativo",$C35&lt;&gt;"Inativo"),"STATUS INVÁLIDO",IF(IFERROR(OR(NOT(ISNUMBER($D35)),$D35&lt;0,MOD($D35,1)&lt;&gt;0),TRUE),"SALDO FÍSICO INVÁLIDO",IF(IFERROR(OR(NOT(ISNUMBER($E35)),$E35&lt;0,MOD($E35,1)&lt;&gt;0),TRUE),"RESERVAS INVÁLIDAS",IF(AND($F35&lt;&gt;"",IFERROR(OR(NOT(ISNUMBER($F35)),$F35&lt;0,MOD($F35,1)&lt;&gt;0),TRUE)),"ESTOQUE DE SEGURANÇA INVÁLIDO",IF(IFERROR(OR(NOT(ISNUMBER($G35)),$G35&gt;'Configurações'!$B$5),TRUE),"DATA INVÁLIDA",IF($E35&gt;$D35,"RESERVAS MAIORES QUE O SALDO","OK"))))))))))</f>
        <v/>
      </c>
    </row>
    <row r="36">
      <c r="A36" s="21" t="n"/>
      <c r="B36" s="21" t="n"/>
      <c r="C36" s="21" t="n"/>
      <c r="D36" s="22" t="n"/>
      <c r="E36" s="22" t="n"/>
      <c r="F36" s="22" t="n"/>
      <c r="G36" s="23" t="n"/>
      <c r="H36" s="24">
        <f>IF($A36="","",IFERROR(SUMIFS('Conciliação'!$G$6:$G$305,'Conciliação'!$B$6:$B$305,$A36,'Conciliação'!$S$6:$S$305,"OK"),0))</f>
        <v/>
      </c>
      <c r="I36" s="24">
        <f>IF($A36="","",IF(OR(NOT(ISNUMBER($D36)),NOT(ISNUMBER($E36)),AND($F36&lt;&gt;"",NOT(ISNUMBER($F36)))),"",MAX(0,$D36-$E36-$H36-IF($F36="",'Configurações'!$B$2,$F36))))</f>
        <v/>
      </c>
      <c r="J36" s="24">
        <f>IF($A36="","",IFERROR(SUMIFS('Conciliação'!$F$6:$F$305,'Conciliação'!$B$6:$B$305,$A36,'Conciliação'!$S$6:$S$305,"OK"),0))</f>
        <v/>
      </c>
      <c r="K36" s="24">
        <f>IF(OR($I36="",$J36=""),"",MAX(0,$J36-$I36))</f>
        <v/>
      </c>
      <c r="L36" s="25">
        <f>IF($A36="","",IF($C36="Inativo",IF($J36&gt;0,"INATIVO COM PUBLICAÇÃO","INATIVO"),IF($I36="","REVISAR DADOS",IF($K36&gt;0,"EXPOSIÇÃO ACIMA DO DISPONÍVEL",IF($I36=0,"SEM SALDO DISPONÍVEL",IF($G36="","SEM DATA",IF('Configurações'!$B$5-$G36&gt;'Configurações'!$B$4,"ATUALIZAÇÃO VENCIDA","OK")))))))</f>
        <v/>
      </c>
      <c r="M36" s="25">
        <f>IF(COUNTA($A36:$G36)=0,"",IF($A36="","SKU AUSENTE",IF(COUNTIF($A$6:$A$205,$A36)&gt;1,"SKU DUPLICADO",IF($B36="","PRODUTO AUSENTE",IF(AND($C36&lt;&gt;"Ativo",$C36&lt;&gt;"Inativo"),"STATUS INVÁLIDO",IF(IFERROR(OR(NOT(ISNUMBER($D36)),$D36&lt;0,MOD($D36,1)&lt;&gt;0),TRUE),"SALDO FÍSICO INVÁLIDO",IF(IFERROR(OR(NOT(ISNUMBER($E36)),$E36&lt;0,MOD($E36,1)&lt;&gt;0),TRUE),"RESERVAS INVÁLIDAS",IF(AND($F36&lt;&gt;"",IFERROR(OR(NOT(ISNUMBER($F36)),$F36&lt;0,MOD($F36,1)&lt;&gt;0),TRUE)),"ESTOQUE DE SEGURANÇA INVÁLIDO",IF(IFERROR(OR(NOT(ISNUMBER($G36)),$G36&gt;'Configurações'!$B$5),TRUE),"DATA INVÁLIDA",IF($E36&gt;$D36,"RESERVAS MAIORES QUE O SALDO","OK"))))))))))</f>
        <v/>
      </c>
    </row>
    <row r="37">
      <c r="A37" s="21" t="n"/>
      <c r="B37" s="21" t="n"/>
      <c r="C37" s="21" t="n"/>
      <c r="D37" s="22" t="n"/>
      <c r="E37" s="22" t="n"/>
      <c r="F37" s="22" t="n"/>
      <c r="G37" s="23" t="n"/>
      <c r="H37" s="24">
        <f>IF($A37="","",IFERROR(SUMIFS('Conciliação'!$G$6:$G$305,'Conciliação'!$B$6:$B$305,$A37,'Conciliação'!$S$6:$S$305,"OK"),0))</f>
        <v/>
      </c>
      <c r="I37" s="24">
        <f>IF($A37="","",IF(OR(NOT(ISNUMBER($D37)),NOT(ISNUMBER($E37)),AND($F37&lt;&gt;"",NOT(ISNUMBER($F37)))),"",MAX(0,$D37-$E37-$H37-IF($F37="",'Configurações'!$B$2,$F37))))</f>
        <v/>
      </c>
      <c r="J37" s="24">
        <f>IF($A37="","",IFERROR(SUMIFS('Conciliação'!$F$6:$F$305,'Conciliação'!$B$6:$B$305,$A37,'Conciliação'!$S$6:$S$305,"OK"),0))</f>
        <v/>
      </c>
      <c r="K37" s="24">
        <f>IF(OR($I37="",$J37=""),"",MAX(0,$J37-$I37))</f>
        <v/>
      </c>
      <c r="L37" s="25">
        <f>IF($A37="","",IF($C37="Inativo",IF($J37&gt;0,"INATIVO COM PUBLICAÇÃO","INATIVO"),IF($I37="","REVISAR DADOS",IF($K37&gt;0,"EXPOSIÇÃO ACIMA DO DISPONÍVEL",IF($I37=0,"SEM SALDO DISPONÍVEL",IF($G37="","SEM DATA",IF('Configurações'!$B$5-$G37&gt;'Configurações'!$B$4,"ATUALIZAÇÃO VENCIDA","OK")))))))</f>
        <v/>
      </c>
      <c r="M37" s="25">
        <f>IF(COUNTA($A37:$G37)=0,"",IF($A37="","SKU AUSENTE",IF(COUNTIF($A$6:$A$205,$A37)&gt;1,"SKU DUPLICADO",IF($B37="","PRODUTO AUSENTE",IF(AND($C37&lt;&gt;"Ativo",$C37&lt;&gt;"Inativo"),"STATUS INVÁLIDO",IF(IFERROR(OR(NOT(ISNUMBER($D37)),$D37&lt;0,MOD($D37,1)&lt;&gt;0),TRUE),"SALDO FÍSICO INVÁLIDO",IF(IFERROR(OR(NOT(ISNUMBER($E37)),$E37&lt;0,MOD($E37,1)&lt;&gt;0),TRUE),"RESERVAS INVÁLIDAS",IF(AND($F37&lt;&gt;"",IFERROR(OR(NOT(ISNUMBER($F37)),$F37&lt;0,MOD($F37,1)&lt;&gt;0),TRUE)),"ESTOQUE DE SEGURANÇA INVÁLIDO",IF(IFERROR(OR(NOT(ISNUMBER($G37)),$G37&gt;'Configurações'!$B$5),TRUE),"DATA INVÁLIDA",IF($E37&gt;$D37,"RESERVAS MAIORES QUE O SALDO","OK"))))))))))</f>
        <v/>
      </c>
    </row>
    <row r="38">
      <c r="A38" s="21" t="n"/>
      <c r="B38" s="21" t="n"/>
      <c r="C38" s="21" t="n"/>
      <c r="D38" s="22" t="n"/>
      <c r="E38" s="22" t="n"/>
      <c r="F38" s="22" t="n"/>
      <c r="G38" s="23" t="n"/>
      <c r="H38" s="24">
        <f>IF($A38="","",IFERROR(SUMIFS('Conciliação'!$G$6:$G$305,'Conciliação'!$B$6:$B$305,$A38,'Conciliação'!$S$6:$S$305,"OK"),0))</f>
        <v/>
      </c>
      <c r="I38" s="24">
        <f>IF($A38="","",IF(OR(NOT(ISNUMBER($D38)),NOT(ISNUMBER($E38)),AND($F38&lt;&gt;"",NOT(ISNUMBER($F38)))),"",MAX(0,$D38-$E38-$H38-IF($F38="",'Configurações'!$B$2,$F38))))</f>
        <v/>
      </c>
      <c r="J38" s="24">
        <f>IF($A38="","",IFERROR(SUMIFS('Conciliação'!$F$6:$F$305,'Conciliação'!$B$6:$B$305,$A38,'Conciliação'!$S$6:$S$305,"OK"),0))</f>
        <v/>
      </c>
      <c r="K38" s="24">
        <f>IF(OR($I38="",$J38=""),"",MAX(0,$J38-$I38))</f>
        <v/>
      </c>
      <c r="L38" s="25">
        <f>IF($A38="","",IF($C38="Inativo",IF($J38&gt;0,"INATIVO COM PUBLICAÇÃO","INATIVO"),IF($I38="","REVISAR DADOS",IF($K38&gt;0,"EXPOSIÇÃO ACIMA DO DISPONÍVEL",IF($I38=0,"SEM SALDO DISPONÍVEL",IF($G38="","SEM DATA",IF('Configurações'!$B$5-$G38&gt;'Configurações'!$B$4,"ATUALIZAÇÃO VENCIDA","OK")))))))</f>
        <v/>
      </c>
      <c r="M38" s="25">
        <f>IF(COUNTA($A38:$G38)=0,"",IF($A38="","SKU AUSENTE",IF(COUNTIF($A$6:$A$205,$A38)&gt;1,"SKU DUPLICADO",IF($B38="","PRODUTO AUSENTE",IF(AND($C38&lt;&gt;"Ativo",$C38&lt;&gt;"Inativo"),"STATUS INVÁLIDO",IF(IFERROR(OR(NOT(ISNUMBER($D38)),$D38&lt;0,MOD($D38,1)&lt;&gt;0),TRUE),"SALDO FÍSICO INVÁLIDO",IF(IFERROR(OR(NOT(ISNUMBER($E38)),$E38&lt;0,MOD($E38,1)&lt;&gt;0),TRUE),"RESERVAS INVÁLIDAS",IF(AND($F38&lt;&gt;"",IFERROR(OR(NOT(ISNUMBER($F38)),$F38&lt;0,MOD($F38,1)&lt;&gt;0),TRUE)),"ESTOQUE DE SEGURANÇA INVÁLIDO",IF(IFERROR(OR(NOT(ISNUMBER($G38)),$G38&gt;'Configurações'!$B$5),TRUE),"DATA INVÁLIDA",IF($E38&gt;$D38,"RESERVAS MAIORES QUE O SALDO","OK"))))))))))</f>
        <v/>
      </c>
    </row>
    <row r="39">
      <c r="A39" s="21" t="n"/>
      <c r="B39" s="21" t="n"/>
      <c r="C39" s="21" t="n"/>
      <c r="D39" s="22" t="n"/>
      <c r="E39" s="22" t="n"/>
      <c r="F39" s="22" t="n"/>
      <c r="G39" s="23" t="n"/>
      <c r="H39" s="24">
        <f>IF($A39="","",IFERROR(SUMIFS('Conciliação'!$G$6:$G$305,'Conciliação'!$B$6:$B$305,$A39,'Conciliação'!$S$6:$S$305,"OK"),0))</f>
        <v/>
      </c>
      <c r="I39" s="24">
        <f>IF($A39="","",IF(OR(NOT(ISNUMBER($D39)),NOT(ISNUMBER($E39)),AND($F39&lt;&gt;"",NOT(ISNUMBER($F39)))),"",MAX(0,$D39-$E39-$H39-IF($F39="",'Configurações'!$B$2,$F39))))</f>
        <v/>
      </c>
      <c r="J39" s="24">
        <f>IF($A39="","",IFERROR(SUMIFS('Conciliação'!$F$6:$F$305,'Conciliação'!$B$6:$B$305,$A39,'Conciliação'!$S$6:$S$305,"OK"),0))</f>
        <v/>
      </c>
      <c r="K39" s="24">
        <f>IF(OR($I39="",$J39=""),"",MAX(0,$J39-$I39))</f>
        <v/>
      </c>
      <c r="L39" s="25">
        <f>IF($A39="","",IF($C39="Inativo",IF($J39&gt;0,"INATIVO COM PUBLICAÇÃO","INATIVO"),IF($I39="","REVISAR DADOS",IF($K39&gt;0,"EXPOSIÇÃO ACIMA DO DISPONÍVEL",IF($I39=0,"SEM SALDO DISPONÍVEL",IF($G39="","SEM DATA",IF('Configurações'!$B$5-$G39&gt;'Configurações'!$B$4,"ATUALIZAÇÃO VENCIDA","OK")))))))</f>
        <v/>
      </c>
      <c r="M39" s="25">
        <f>IF(COUNTA($A39:$G39)=0,"",IF($A39="","SKU AUSENTE",IF(COUNTIF($A$6:$A$205,$A39)&gt;1,"SKU DUPLICADO",IF($B39="","PRODUTO AUSENTE",IF(AND($C39&lt;&gt;"Ativo",$C39&lt;&gt;"Inativo"),"STATUS INVÁLIDO",IF(IFERROR(OR(NOT(ISNUMBER($D39)),$D39&lt;0,MOD($D39,1)&lt;&gt;0),TRUE),"SALDO FÍSICO INVÁLIDO",IF(IFERROR(OR(NOT(ISNUMBER($E39)),$E39&lt;0,MOD($E39,1)&lt;&gt;0),TRUE),"RESERVAS INVÁLIDAS",IF(AND($F39&lt;&gt;"",IFERROR(OR(NOT(ISNUMBER($F39)),$F39&lt;0,MOD($F39,1)&lt;&gt;0),TRUE)),"ESTOQUE DE SEGURANÇA INVÁLIDO",IF(IFERROR(OR(NOT(ISNUMBER($G39)),$G39&gt;'Configurações'!$B$5),TRUE),"DATA INVÁLIDA",IF($E39&gt;$D39,"RESERVAS MAIORES QUE O SALDO","OK"))))))))))</f>
        <v/>
      </c>
    </row>
    <row r="40">
      <c r="A40" s="21" t="n"/>
      <c r="B40" s="21" t="n"/>
      <c r="C40" s="21" t="n"/>
      <c r="D40" s="22" t="n"/>
      <c r="E40" s="22" t="n"/>
      <c r="F40" s="22" t="n"/>
      <c r="G40" s="23" t="n"/>
      <c r="H40" s="24">
        <f>IF($A40="","",IFERROR(SUMIFS('Conciliação'!$G$6:$G$305,'Conciliação'!$B$6:$B$305,$A40,'Conciliação'!$S$6:$S$305,"OK"),0))</f>
        <v/>
      </c>
      <c r="I40" s="24">
        <f>IF($A40="","",IF(OR(NOT(ISNUMBER($D40)),NOT(ISNUMBER($E40)),AND($F40&lt;&gt;"",NOT(ISNUMBER($F40)))),"",MAX(0,$D40-$E40-$H40-IF($F40="",'Configurações'!$B$2,$F40))))</f>
        <v/>
      </c>
      <c r="J40" s="24">
        <f>IF($A40="","",IFERROR(SUMIFS('Conciliação'!$F$6:$F$305,'Conciliação'!$B$6:$B$305,$A40,'Conciliação'!$S$6:$S$305,"OK"),0))</f>
        <v/>
      </c>
      <c r="K40" s="24">
        <f>IF(OR($I40="",$J40=""),"",MAX(0,$J40-$I40))</f>
        <v/>
      </c>
      <c r="L40" s="25">
        <f>IF($A40="","",IF($C40="Inativo",IF($J40&gt;0,"INATIVO COM PUBLICAÇÃO","INATIVO"),IF($I40="","REVISAR DADOS",IF($K40&gt;0,"EXPOSIÇÃO ACIMA DO DISPONÍVEL",IF($I40=0,"SEM SALDO DISPONÍVEL",IF($G40="","SEM DATA",IF('Configurações'!$B$5-$G40&gt;'Configurações'!$B$4,"ATUALIZAÇÃO VENCIDA","OK")))))))</f>
        <v/>
      </c>
      <c r="M40" s="25">
        <f>IF(COUNTA($A40:$G40)=0,"",IF($A40="","SKU AUSENTE",IF(COUNTIF($A$6:$A$205,$A40)&gt;1,"SKU DUPLICADO",IF($B40="","PRODUTO AUSENTE",IF(AND($C40&lt;&gt;"Ativo",$C40&lt;&gt;"Inativo"),"STATUS INVÁLIDO",IF(IFERROR(OR(NOT(ISNUMBER($D40)),$D40&lt;0,MOD($D40,1)&lt;&gt;0),TRUE),"SALDO FÍSICO INVÁLIDO",IF(IFERROR(OR(NOT(ISNUMBER($E40)),$E40&lt;0,MOD($E40,1)&lt;&gt;0),TRUE),"RESERVAS INVÁLIDAS",IF(AND($F40&lt;&gt;"",IFERROR(OR(NOT(ISNUMBER($F40)),$F40&lt;0,MOD($F40,1)&lt;&gt;0),TRUE)),"ESTOQUE DE SEGURANÇA INVÁLIDO",IF(IFERROR(OR(NOT(ISNUMBER($G40)),$G40&gt;'Configurações'!$B$5),TRUE),"DATA INVÁLIDA",IF($E40&gt;$D40,"RESERVAS MAIORES QUE O SALDO","OK"))))))))))</f>
        <v/>
      </c>
    </row>
    <row r="41">
      <c r="A41" s="21" t="n"/>
      <c r="B41" s="21" t="n"/>
      <c r="C41" s="21" t="n"/>
      <c r="D41" s="22" t="n"/>
      <c r="E41" s="22" t="n"/>
      <c r="F41" s="22" t="n"/>
      <c r="G41" s="23" t="n"/>
      <c r="H41" s="24">
        <f>IF($A41="","",IFERROR(SUMIFS('Conciliação'!$G$6:$G$305,'Conciliação'!$B$6:$B$305,$A41,'Conciliação'!$S$6:$S$305,"OK"),0))</f>
        <v/>
      </c>
      <c r="I41" s="24">
        <f>IF($A41="","",IF(OR(NOT(ISNUMBER($D41)),NOT(ISNUMBER($E41)),AND($F41&lt;&gt;"",NOT(ISNUMBER($F41)))),"",MAX(0,$D41-$E41-$H41-IF($F41="",'Configurações'!$B$2,$F41))))</f>
        <v/>
      </c>
      <c r="J41" s="24">
        <f>IF($A41="","",IFERROR(SUMIFS('Conciliação'!$F$6:$F$305,'Conciliação'!$B$6:$B$305,$A41,'Conciliação'!$S$6:$S$305,"OK"),0))</f>
        <v/>
      </c>
      <c r="K41" s="24">
        <f>IF(OR($I41="",$J41=""),"",MAX(0,$J41-$I41))</f>
        <v/>
      </c>
      <c r="L41" s="25">
        <f>IF($A41="","",IF($C41="Inativo",IF($J41&gt;0,"INATIVO COM PUBLICAÇÃO","INATIVO"),IF($I41="","REVISAR DADOS",IF($K41&gt;0,"EXPOSIÇÃO ACIMA DO DISPONÍVEL",IF($I41=0,"SEM SALDO DISPONÍVEL",IF($G41="","SEM DATA",IF('Configurações'!$B$5-$G41&gt;'Configurações'!$B$4,"ATUALIZAÇÃO VENCIDA","OK")))))))</f>
        <v/>
      </c>
      <c r="M41" s="25">
        <f>IF(COUNTA($A41:$G41)=0,"",IF($A41="","SKU AUSENTE",IF(COUNTIF($A$6:$A$205,$A41)&gt;1,"SKU DUPLICADO",IF($B41="","PRODUTO AUSENTE",IF(AND($C41&lt;&gt;"Ativo",$C41&lt;&gt;"Inativo"),"STATUS INVÁLIDO",IF(IFERROR(OR(NOT(ISNUMBER($D41)),$D41&lt;0,MOD($D41,1)&lt;&gt;0),TRUE),"SALDO FÍSICO INVÁLIDO",IF(IFERROR(OR(NOT(ISNUMBER($E41)),$E41&lt;0,MOD($E41,1)&lt;&gt;0),TRUE),"RESERVAS INVÁLIDAS",IF(AND($F41&lt;&gt;"",IFERROR(OR(NOT(ISNUMBER($F41)),$F41&lt;0,MOD($F41,1)&lt;&gt;0),TRUE)),"ESTOQUE DE SEGURANÇA INVÁLIDO",IF(IFERROR(OR(NOT(ISNUMBER($G41)),$G41&gt;'Configurações'!$B$5),TRUE),"DATA INVÁLIDA",IF($E41&gt;$D41,"RESERVAS MAIORES QUE O SALDO","OK"))))))))))</f>
        <v/>
      </c>
    </row>
    <row r="42">
      <c r="A42" s="21" t="n"/>
      <c r="B42" s="21" t="n"/>
      <c r="C42" s="21" t="n"/>
      <c r="D42" s="22" t="n"/>
      <c r="E42" s="22" t="n"/>
      <c r="F42" s="22" t="n"/>
      <c r="G42" s="23" t="n"/>
      <c r="H42" s="24">
        <f>IF($A42="","",IFERROR(SUMIFS('Conciliação'!$G$6:$G$305,'Conciliação'!$B$6:$B$305,$A42,'Conciliação'!$S$6:$S$305,"OK"),0))</f>
        <v/>
      </c>
      <c r="I42" s="24">
        <f>IF($A42="","",IF(OR(NOT(ISNUMBER($D42)),NOT(ISNUMBER($E42)),AND($F42&lt;&gt;"",NOT(ISNUMBER($F42)))),"",MAX(0,$D42-$E42-$H42-IF($F42="",'Configurações'!$B$2,$F42))))</f>
        <v/>
      </c>
      <c r="J42" s="24">
        <f>IF($A42="","",IFERROR(SUMIFS('Conciliação'!$F$6:$F$305,'Conciliação'!$B$6:$B$305,$A42,'Conciliação'!$S$6:$S$305,"OK"),0))</f>
        <v/>
      </c>
      <c r="K42" s="24">
        <f>IF(OR($I42="",$J42=""),"",MAX(0,$J42-$I42))</f>
        <v/>
      </c>
      <c r="L42" s="25">
        <f>IF($A42="","",IF($C42="Inativo",IF($J42&gt;0,"INATIVO COM PUBLICAÇÃO","INATIVO"),IF($I42="","REVISAR DADOS",IF($K42&gt;0,"EXPOSIÇÃO ACIMA DO DISPONÍVEL",IF($I42=0,"SEM SALDO DISPONÍVEL",IF($G42="","SEM DATA",IF('Configurações'!$B$5-$G42&gt;'Configurações'!$B$4,"ATUALIZAÇÃO VENCIDA","OK")))))))</f>
        <v/>
      </c>
      <c r="M42" s="25">
        <f>IF(COUNTA($A42:$G42)=0,"",IF($A42="","SKU AUSENTE",IF(COUNTIF($A$6:$A$205,$A42)&gt;1,"SKU DUPLICADO",IF($B42="","PRODUTO AUSENTE",IF(AND($C42&lt;&gt;"Ativo",$C42&lt;&gt;"Inativo"),"STATUS INVÁLIDO",IF(IFERROR(OR(NOT(ISNUMBER($D42)),$D42&lt;0,MOD($D42,1)&lt;&gt;0),TRUE),"SALDO FÍSICO INVÁLIDO",IF(IFERROR(OR(NOT(ISNUMBER($E42)),$E42&lt;0,MOD($E42,1)&lt;&gt;0),TRUE),"RESERVAS INVÁLIDAS",IF(AND($F42&lt;&gt;"",IFERROR(OR(NOT(ISNUMBER($F42)),$F42&lt;0,MOD($F42,1)&lt;&gt;0),TRUE)),"ESTOQUE DE SEGURANÇA INVÁLIDO",IF(IFERROR(OR(NOT(ISNUMBER($G42)),$G42&gt;'Configurações'!$B$5),TRUE),"DATA INVÁLIDA",IF($E42&gt;$D42,"RESERVAS MAIORES QUE O SALDO","OK"))))))))))</f>
        <v/>
      </c>
    </row>
    <row r="43">
      <c r="A43" s="21" t="n"/>
      <c r="B43" s="21" t="n"/>
      <c r="C43" s="21" t="n"/>
      <c r="D43" s="22" t="n"/>
      <c r="E43" s="22" t="n"/>
      <c r="F43" s="22" t="n"/>
      <c r="G43" s="23" t="n"/>
      <c r="H43" s="24">
        <f>IF($A43="","",IFERROR(SUMIFS('Conciliação'!$G$6:$G$305,'Conciliação'!$B$6:$B$305,$A43,'Conciliação'!$S$6:$S$305,"OK"),0))</f>
        <v/>
      </c>
      <c r="I43" s="24">
        <f>IF($A43="","",IF(OR(NOT(ISNUMBER($D43)),NOT(ISNUMBER($E43)),AND($F43&lt;&gt;"",NOT(ISNUMBER($F43)))),"",MAX(0,$D43-$E43-$H43-IF($F43="",'Configurações'!$B$2,$F43))))</f>
        <v/>
      </c>
      <c r="J43" s="24">
        <f>IF($A43="","",IFERROR(SUMIFS('Conciliação'!$F$6:$F$305,'Conciliação'!$B$6:$B$305,$A43,'Conciliação'!$S$6:$S$305,"OK"),0))</f>
        <v/>
      </c>
      <c r="K43" s="24">
        <f>IF(OR($I43="",$J43=""),"",MAX(0,$J43-$I43))</f>
        <v/>
      </c>
      <c r="L43" s="25">
        <f>IF($A43="","",IF($C43="Inativo",IF($J43&gt;0,"INATIVO COM PUBLICAÇÃO","INATIVO"),IF($I43="","REVISAR DADOS",IF($K43&gt;0,"EXPOSIÇÃO ACIMA DO DISPONÍVEL",IF($I43=0,"SEM SALDO DISPONÍVEL",IF($G43="","SEM DATA",IF('Configurações'!$B$5-$G43&gt;'Configurações'!$B$4,"ATUALIZAÇÃO VENCIDA","OK")))))))</f>
        <v/>
      </c>
      <c r="M43" s="25">
        <f>IF(COUNTA($A43:$G43)=0,"",IF($A43="","SKU AUSENTE",IF(COUNTIF($A$6:$A$205,$A43)&gt;1,"SKU DUPLICADO",IF($B43="","PRODUTO AUSENTE",IF(AND($C43&lt;&gt;"Ativo",$C43&lt;&gt;"Inativo"),"STATUS INVÁLIDO",IF(IFERROR(OR(NOT(ISNUMBER($D43)),$D43&lt;0,MOD($D43,1)&lt;&gt;0),TRUE),"SALDO FÍSICO INVÁLIDO",IF(IFERROR(OR(NOT(ISNUMBER($E43)),$E43&lt;0,MOD($E43,1)&lt;&gt;0),TRUE),"RESERVAS INVÁLIDAS",IF(AND($F43&lt;&gt;"",IFERROR(OR(NOT(ISNUMBER($F43)),$F43&lt;0,MOD($F43,1)&lt;&gt;0),TRUE)),"ESTOQUE DE SEGURANÇA INVÁLIDO",IF(IFERROR(OR(NOT(ISNUMBER($G43)),$G43&gt;'Configurações'!$B$5),TRUE),"DATA INVÁLIDA",IF($E43&gt;$D43,"RESERVAS MAIORES QUE O SALDO","OK"))))))))))</f>
        <v/>
      </c>
    </row>
    <row r="44">
      <c r="A44" s="21" t="n"/>
      <c r="B44" s="21" t="n"/>
      <c r="C44" s="21" t="n"/>
      <c r="D44" s="22" t="n"/>
      <c r="E44" s="22" t="n"/>
      <c r="F44" s="22" t="n"/>
      <c r="G44" s="23" t="n"/>
      <c r="H44" s="24">
        <f>IF($A44="","",IFERROR(SUMIFS('Conciliação'!$G$6:$G$305,'Conciliação'!$B$6:$B$305,$A44,'Conciliação'!$S$6:$S$305,"OK"),0))</f>
        <v/>
      </c>
      <c r="I44" s="24">
        <f>IF($A44="","",IF(OR(NOT(ISNUMBER($D44)),NOT(ISNUMBER($E44)),AND($F44&lt;&gt;"",NOT(ISNUMBER($F44)))),"",MAX(0,$D44-$E44-$H44-IF($F44="",'Configurações'!$B$2,$F44))))</f>
        <v/>
      </c>
      <c r="J44" s="24">
        <f>IF($A44="","",IFERROR(SUMIFS('Conciliação'!$F$6:$F$305,'Conciliação'!$B$6:$B$305,$A44,'Conciliação'!$S$6:$S$305,"OK"),0))</f>
        <v/>
      </c>
      <c r="K44" s="24">
        <f>IF(OR($I44="",$J44=""),"",MAX(0,$J44-$I44))</f>
        <v/>
      </c>
      <c r="L44" s="25">
        <f>IF($A44="","",IF($C44="Inativo",IF($J44&gt;0,"INATIVO COM PUBLICAÇÃO","INATIVO"),IF($I44="","REVISAR DADOS",IF($K44&gt;0,"EXPOSIÇÃO ACIMA DO DISPONÍVEL",IF($I44=0,"SEM SALDO DISPONÍVEL",IF($G44="","SEM DATA",IF('Configurações'!$B$5-$G44&gt;'Configurações'!$B$4,"ATUALIZAÇÃO VENCIDA","OK")))))))</f>
        <v/>
      </c>
      <c r="M44" s="25">
        <f>IF(COUNTA($A44:$G44)=0,"",IF($A44="","SKU AUSENTE",IF(COUNTIF($A$6:$A$205,$A44)&gt;1,"SKU DUPLICADO",IF($B44="","PRODUTO AUSENTE",IF(AND($C44&lt;&gt;"Ativo",$C44&lt;&gt;"Inativo"),"STATUS INVÁLIDO",IF(IFERROR(OR(NOT(ISNUMBER($D44)),$D44&lt;0,MOD($D44,1)&lt;&gt;0),TRUE),"SALDO FÍSICO INVÁLIDO",IF(IFERROR(OR(NOT(ISNUMBER($E44)),$E44&lt;0,MOD($E44,1)&lt;&gt;0),TRUE),"RESERVAS INVÁLIDAS",IF(AND($F44&lt;&gt;"",IFERROR(OR(NOT(ISNUMBER($F44)),$F44&lt;0,MOD($F44,1)&lt;&gt;0),TRUE)),"ESTOQUE DE SEGURANÇA INVÁLIDO",IF(IFERROR(OR(NOT(ISNUMBER($G44)),$G44&gt;'Configurações'!$B$5),TRUE),"DATA INVÁLIDA",IF($E44&gt;$D44,"RESERVAS MAIORES QUE O SALDO","OK"))))))))))</f>
        <v/>
      </c>
    </row>
    <row r="45">
      <c r="A45" s="21" t="n"/>
      <c r="B45" s="21" t="n"/>
      <c r="C45" s="21" t="n"/>
      <c r="D45" s="22" t="n"/>
      <c r="E45" s="22" t="n"/>
      <c r="F45" s="22" t="n"/>
      <c r="G45" s="23" t="n"/>
      <c r="H45" s="24">
        <f>IF($A45="","",IFERROR(SUMIFS('Conciliação'!$G$6:$G$305,'Conciliação'!$B$6:$B$305,$A45,'Conciliação'!$S$6:$S$305,"OK"),0))</f>
        <v/>
      </c>
      <c r="I45" s="24">
        <f>IF($A45="","",IF(OR(NOT(ISNUMBER($D45)),NOT(ISNUMBER($E45)),AND($F45&lt;&gt;"",NOT(ISNUMBER($F45)))),"",MAX(0,$D45-$E45-$H45-IF($F45="",'Configurações'!$B$2,$F45))))</f>
        <v/>
      </c>
      <c r="J45" s="24">
        <f>IF($A45="","",IFERROR(SUMIFS('Conciliação'!$F$6:$F$305,'Conciliação'!$B$6:$B$305,$A45,'Conciliação'!$S$6:$S$305,"OK"),0))</f>
        <v/>
      </c>
      <c r="K45" s="24">
        <f>IF(OR($I45="",$J45=""),"",MAX(0,$J45-$I45))</f>
        <v/>
      </c>
      <c r="L45" s="25">
        <f>IF($A45="","",IF($C45="Inativo",IF($J45&gt;0,"INATIVO COM PUBLICAÇÃO","INATIVO"),IF($I45="","REVISAR DADOS",IF($K45&gt;0,"EXPOSIÇÃO ACIMA DO DISPONÍVEL",IF($I45=0,"SEM SALDO DISPONÍVEL",IF($G45="","SEM DATA",IF('Configurações'!$B$5-$G45&gt;'Configurações'!$B$4,"ATUALIZAÇÃO VENCIDA","OK")))))))</f>
        <v/>
      </c>
      <c r="M45" s="25">
        <f>IF(COUNTA($A45:$G45)=0,"",IF($A45="","SKU AUSENTE",IF(COUNTIF($A$6:$A$205,$A45)&gt;1,"SKU DUPLICADO",IF($B45="","PRODUTO AUSENTE",IF(AND($C45&lt;&gt;"Ativo",$C45&lt;&gt;"Inativo"),"STATUS INVÁLIDO",IF(IFERROR(OR(NOT(ISNUMBER($D45)),$D45&lt;0,MOD($D45,1)&lt;&gt;0),TRUE),"SALDO FÍSICO INVÁLIDO",IF(IFERROR(OR(NOT(ISNUMBER($E45)),$E45&lt;0,MOD($E45,1)&lt;&gt;0),TRUE),"RESERVAS INVÁLIDAS",IF(AND($F45&lt;&gt;"",IFERROR(OR(NOT(ISNUMBER($F45)),$F45&lt;0,MOD($F45,1)&lt;&gt;0),TRUE)),"ESTOQUE DE SEGURANÇA INVÁLIDO",IF(IFERROR(OR(NOT(ISNUMBER($G45)),$G45&gt;'Configurações'!$B$5),TRUE),"DATA INVÁLIDA",IF($E45&gt;$D45,"RESERVAS MAIORES QUE O SALDO","OK"))))))))))</f>
        <v/>
      </c>
    </row>
    <row r="46">
      <c r="A46" s="21" t="n"/>
      <c r="B46" s="21" t="n"/>
      <c r="C46" s="21" t="n"/>
      <c r="D46" s="22" t="n"/>
      <c r="E46" s="22" t="n"/>
      <c r="F46" s="22" t="n"/>
      <c r="G46" s="23" t="n"/>
      <c r="H46" s="24">
        <f>IF($A46="","",IFERROR(SUMIFS('Conciliação'!$G$6:$G$305,'Conciliação'!$B$6:$B$305,$A46,'Conciliação'!$S$6:$S$305,"OK"),0))</f>
        <v/>
      </c>
      <c r="I46" s="24">
        <f>IF($A46="","",IF(OR(NOT(ISNUMBER($D46)),NOT(ISNUMBER($E46)),AND($F46&lt;&gt;"",NOT(ISNUMBER($F46)))),"",MAX(0,$D46-$E46-$H46-IF($F46="",'Configurações'!$B$2,$F46))))</f>
        <v/>
      </c>
      <c r="J46" s="24">
        <f>IF($A46="","",IFERROR(SUMIFS('Conciliação'!$F$6:$F$305,'Conciliação'!$B$6:$B$305,$A46,'Conciliação'!$S$6:$S$305,"OK"),0))</f>
        <v/>
      </c>
      <c r="K46" s="24">
        <f>IF(OR($I46="",$J46=""),"",MAX(0,$J46-$I46))</f>
        <v/>
      </c>
      <c r="L46" s="25">
        <f>IF($A46="","",IF($C46="Inativo",IF($J46&gt;0,"INATIVO COM PUBLICAÇÃO","INATIVO"),IF($I46="","REVISAR DADOS",IF($K46&gt;0,"EXPOSIÇÃO ACIMA DO DISPONÍVEL",IF($I46=0,"SEM SALDO DISPONÍVEL",IF($G46="","SEM DATA",IF('Configurações'!$B$5-$G46&gt;'Configurações'!$B$4,"ATUALIZAÇÃO VENCIDA","OK")))))))</f>
        <v/>
      </c>
      <c r="M46" s="25">
        <f>IF(COUNTA($A46:$G46)=0,"",IF($A46="","SKU AUSENTE",IF(COUNTIF($A$6:$A$205,$A46)&gt;1,"SKU DUPLICADO",IF($B46="","PRODUTO AUSENTE",IF(AND($C46&lt;&gt;"Ativo",$C46&lt;&gt;"Inativo"),"STATUS INVÁLIDO",IF(IFERROR(OR(NOT(ISNUMBER($D46)),$D46&lt;0,MOD($D46,1)&lt;&gt;0),TRUE),"SALDO FÍSICO INVÁLIDO",IF(IFERROR(OR(NOT(ISNUMBER($E46)),$E46&lt;0,MOD($E46,1)&lt;&gt;0),TRUE),"RESERVAS INVÁLIDAS",IF(AND($F46&lt;&gt;"",IFERROR(OR(NOT(ISNUMBER($F46)),$F46&lt;0,MOD($F46,1)&lt;&gt;0),TRUE)),"ESTOQUE DE SEGURANÇA INVÁLIDO",IF(IFERROR(OR(NOT(ISNUMBER($G46)),$G46&gt;'Configurações'!$B$5),TRUE),"DATA INVÁLIDA",IF($E46&gt;$D46,"RESERVAS MAIORES QUE O SALDO","OK"))))))))))</f>
        <v/>
      </c>
    </row>
    <row r="47">
      <c r="A47" s="21" t="n"/>
      <c r="B47" s="21" t="n"/>
      <c r="C47" s="21" t="n"/>
      <c r="D47" s="22" t="n"/>
      <c r="E47" s="22" t="n"/>
      <c r="F47" s="22" t="n"/>
      <c r="G47" s="23" t="n"/>
      <c r="H47" s="24">
        <f>IF($A47="","",IFERROR(SUMIFS('Conciliação'!$G$6:$G$305,'Conciliação'!$B$6:$B$305,$A47,'Conciliação'!$S$6:$S$305,"OK"),0))</f>
        <v/>
      </c>
      <c r="I47" s="24">
        <f>IF($A47="","",IF(OR(NOT(ISNUMBER($D47)),NOT(ISNUMBER($E47)),AND($F47&lt;&gt;"",NOT(ISNUMBER($F47)))),"",MAX(0,$D47-$E47-$H47-IF($F47="",'Configurações'!$B$2,$F47))))</f>
        <v/>
      </c>
      <c r="J47" s="24">
        <f>IF($A47="","",IFERROR(SUMIFS('Conciliação'!$F$6:$F$305,'Conciliação'!$B$6:$B$305,$A47,'Conciliação'!$S$6:$S$305,"OK"),0))</f>
        <v/>
      </c>
      <c r="K47" s="24">
        <f>IF(OR($I47="",$J47=""),"",MAX(0,$J47-$I47))</f>
        <v/>
      </c>
      <c r="L47" s="25">
        <f>IF($A47="","",IF($C47="Inativo",IF($J47&gt;0,"INATIVO COM PUBLICAÇÃO","INATIVO"),IF($I47="","REVISAR DADOS",IF($K47&gt;0,"EXPOSIÇÃO ACIMA DO DISPONÍVEL",IF($I47=0,"SEM SALDO DISPONÍVEL",IF($G47="","SEM DATA",IF('Configurações'!$B$5-$G47&gt;'Configurações'!$B$4,"ATUALIZAÇÃO VENCIDA","OK")))))))</f>
        <v/>
      </c>
      <c r="M47" s="25">
        <f>IF(COUNTA($A47:$G47)=0,"",IF($A47="","SKU AUSENTE",IF(COUNTIF($A$6:$A$205,$A47)&gt;1,"SKU DUPLICADO",IF($B47="","PRODUTO AUSENTE",IF(AND($C47&lt;&gt;"Ativo",$C47&lt;&gt;"Inativo"),"STATUS INVÁLIDO",IF(IFERROR(OR(NOT(ISNUMBER($D47)),$D47&lt;0,MOD($D47,1)&lt;&gt;0),TRUE),"SALDO FÍSICO INVÁLIDO",IF(IFERROR(OR(NOT(ISNUMBER($E47)),$E47&lt;0,MOD($E47,1)&lt;&gt;0),TRUE),"RESERVAS INVÁLIDAS",IF(AND($F47&lt;&gt;"",IFERROR(OR(NOT(ISNUMBER($F47)),$F47&lt;0,MOD($F47,1)&lt;&gt;0),TRUE)),"ESTOQUE DE SEGURANÇA INVÁLIDO",IF(IFERROR(OR(NOT(ISNUMBER($G47)),$G47&gt;'Configurações'!$B$5),TRUE),"DATA INVÁLIDA",IF($E47&gt;$D47,"RESERVAS MAIORES QUE O SALDO","OK"))))))))))</f>
        <v/>
      </c>
    </row>
    <row r="48">
      <c r="A48" s="21" t="n"/>
      <c r="B48" s="21" t="n"/>
      <c r="C48" s="21" t="n"/>
      <c r="D48" s="22" t="n"/>
      <c r="E48" s="22" t="n"/>
      <c r="F48" s="22" t="n"/>
      <c r="G48" s="23" t="n"/>
      <c r="H48" s="24">
        <f>IF($A48="","",IFERROR(SUMIFS('Conciliação'!$G$6:$G$305,'Conciliação'!$B$6:$B$305,$A48,'Conciliação'!$S$6:$S$305,"OK"),0))</f>
        <v/>
      </c>
      <c r="I48" s="24">
        <f>IF($A48="","",IF(OR(NOT(ISNUMBER($D48)),NOT(ISNUMBER($E48)),AND($F48&lt;&gt;"",NOT(ISNUMBER($F48)))),"",MAX(0,$D48-$E48-$H48-IF($F48="",'Configurações'!$B$2,$F48))))</f>
        <v/>
      </c>
      <c r="J48" s="24">
        <f>IF($A48="","",IFERROR(SUMIFS('Conciliação'!$F$6:$F$305,'Conciliação'!$B$6:$B$305,$A48,'Conciliação'!$S$6:$S$305,"OK"),0))</f>
        <v/>
      </c>
      <c r="K48" s="24">
        <f>IF(OR($I48="",$J48=""),"",MAX(0,$J48-$I48))</f>
        <v/>
      </c>
      <c r="L48" s="25">
        <f>IF($A48="","",IF($C48="Inativo",IF($J48&gt;0,"INATIVO COM PUBLICAÇÃO","INATIVO"),IF($I48="","REVISAR DADOS",IF($K48&gt;0,"EXPOSIÇÃO ACIMA DO DISPONÍVEL",IF($I48=0,"SEM SALDO DISPONÍVEL",IF($G48="","SEM DATA",IF('Configurações'!$B$5-$G48&gt;'Configurações'!$B$4,"ATUALIZAÇÃO VENCIDA","OK")))))))</f>
        <v/>
      </c>
      <c r="M48" s="25">
        <f>IF(COUNTA($A48:$G48)=0,"",IF($A48="","SKU AUSENTE",IF(COUNTIF($A$6:$A$205,$A48)&gt;1,"SKU DUPLICADO",IF($B48="","PRODUTO AUSENTE",IF(AND($C48&lt;&gt;"Ativo",$C48&lt;&gt;"Inativo"),"STATUS INVÁLIDO",IF(IFERROR(OR(NOT(ISNUMBER($D48)),$D48&lt;0,MOD($D48,1)&lt;&gt;0),TRUE),"SALDO FÍSICO INVÁLIDO",IF(IFERROR(OR(NOT(ISNUMBER($E48)),$E48&lt;0,MOD($E48,1)&lt;&gt;0),TRUE),"RESERVAS INVÁLIDAS",IF(AND($F48&lt;&gt;"",IFERROR(OR(NOT(ISNUMBER($F48)),$F48&lt;0,MOD($F48,1)&lt;&gt;0),TRUE)),"ESTOQUE DE SEGURANÇA INVÁLIDO",IF(IFERROR(OR(NOT(ISNUMBER($G48)),$G48&gt;'Configurações'!$B$5),TRUE),"DATA INVÁLIDA",IF($E48&gt;$D48,"RESERVAS MAIORES QUE O SALDO","OK"))))))))))</f>
        <v/>
      </c>
    </row>
    <row r="49">
      <c r="A49" s="21" t="n"/>
      <c r="B49" s="21" t="n"/>
      <c r="C49" s="21" t="n"/>
      <c r="D49" s="22" t="n"/>
      <c r="E49" s="22" t="n"/>
      <c r="F49" s="22" t="n"/>
      <c r="G49" s="23" t="n"/>
      <c r="H49" s="24">
        <f>IF($A49="","",IFERROR(SUMIFS('Conciliação'!$G$6:$G$305,'Conciliação'!$B$6:$B$305,$A49,'Conciliação'!$S$6:$S$305,"OK"),0))</f>
        <v/>
      </c>
      <c r="I49" s="24">
        <f>IF($A49="","",IF(OR(NOT(ISNUMBER($D49)),NOT(ISNUMBER($E49)),AND($F49&lt;&gt;"",NOT(ISNUMBER($F49)))),"",MAX(0,$D49-$E49-$H49-IF($F49="",'Configurações'!$B$2,$F49))))</f>
        <v/>
      </c>
      <c r="J49" s="24">
        <f>IF($A49="","",IFERROR(SUMIFS('Conciliação'!$F$6:$F$305,'Conciliação'!$B$6:$B$305,$A49,'Conciliação'!$S$6:$S$305,"OK"),0))</f>
        <v/>
      </c>
      <c r="K49" s="24">
        <f>IF(OR($I49="",$J49=""),"",MAX(0,$J49-$I49))</f>
        <v/>
      </c>
      <c r="L49" s="25">
        <f>IF($A49="","",IF($C49="Inativo",IF($J49&gt;0,"INATIVO COM PUBLICAÇÃO","INATIVO"),IF($I49="","REVISAR DADOS",IF($K49&gt;0,"EXPOSIÇÃO ACIMA DO DISPONÍVEL",IF($I49=0,"SEM SALDO DISPONÍVEL",IF($G49="","SEM DATA",IF('Configurações'!$B$5-$G49&gt;'Configurações'!$B$4,"ATUALIZAÇÃO VENCIDA","OK")))))))</f>
        <v/>
      </c>
      <c r="M49" s="25">
        <f>IF(COUNTA($A49:$G49)=0,"",IF($A49="","SKU AUSENTE",IF(COUNTIF($A$6:$A$205,$A49)&gt;1,"SKU DUPLICADO",IF($B49="","PRODUTO AUSENTE",IF(AND($C49&lt;&gt;"Ativo",$C49&lt;&gt;"Inativo"),"STATUS INVÁLIDO",IF(IFERROR(OR(NOT(ISNUMBER($D49)),$D49&lt;0,MOD($D49,1)&lt;&gt;0),TRUE),"SALDO FÍSICO INVÁLIDO",IF(IFERROR(OR(NOT(ISNUMBER($E49)),$E49&lt;0,MOD($E49,1)&lt;&gt;0),TRUE),"RESERVAS INVÁLIDAS",IF(AND($F49&lt;&gt;"",IFERROR(OR(NOT(ISNUMBER($F49)),$F49&lt;0,MOD($F49,1)&lt;&gt;0),TRUE)),"ESTOQUE DE SEGURANÇA INVÁLIDO",IF(IFERROR(OR(NOT(ISNUMBER($G49)),$G49&gt;'Configurações'!$B$5),TRUE),"DATA INVÁLIDA",IF($E49&gt;$D49,"RESERVAS MAIORES QUE O SALDO","OK"))))))))))</f>
        <v/>
      </c>
    </row>
    <row r="50">
      <c r="A50" s="21" t="n"/>
      <c r="B50" s="21" t="n"/>
      <c r="C50" s="21" t="n"/>
      <c r="D50" s="22" t="n"/>
      <c r="E50" s="22" t="n"/>
      <c r="F50" s="22" t="n"/>
      <c r="G50" s="23" t="n"/>
      <c r="H50" s="24">
        <f>IF($A50="","",IFERROR(SUMIFS('Conciliação'!$G$6:$G$305,'Conciliação'!$B$6:$B$305,$A50,'Conciliação'!$S$6:$S$305,"OK"),0))</f>
        <v/>
      </c>
      <c r="I50" s="24">
        <f>IF($A50="","",IF(OR(NOT(ISNUMBER($D50)),NOT(ISNUMBER($E50)),AND($F50&lt;&gt;"",NOT(ISNUMBER($F50)))),"",MAX(0,$D50-$E50-$H50-IF($F50="",'Configurações'!$B$2,$F50))))</f>
        <v/>
      </c>
      <c r="J50" s="24">
        <f>IF($A50="","",IFERROR(SUMIFS('Conciliação'!$F$6:$F$305,'Conciliação'!$B$6:$B$305,$A50,'Conciliação'!$S$6:$S$305,"OK"),0))</f>
        <v/>
      </c>
      <c r="K50" s="24">
        <f>IF(OR($I50="",$J50=""),"",MAX(0,$J50-$I50))</f>
        <v/>
      </c>
      <c r="L50" s="25">
        <f>IF($A50="","",IF($C50="Inativo",IF($J50&gt;0,"INATIVO COM PUBLICAÇÃO","INATIVO"),IF($I50="","REVISAR DADOS",IF($K50&gt;0,"EXPOSIÇÃO ACIMA DO DISPONÍVEL",IF($I50=0,"SEM SALDO DISPONÍVEL",IF($G50="","SEM DATA",IF('Configurações'!$B$5-$G50&gt;'Configurações'!$B$4,"ATUALIZAÇÃO VENCIDA","OK")))))))</f>
        <v/>
      </c>
      <c r="M50" s="25">
        <f>IF(COUNTA($A50:$G50)=0,"",IF($A50="","SKU AUSENTE",IF(COUNTIF($A$6:$A$205,$A50)&gt;1,"SKU DUPLICADO",IF($B50="","PRODUTO AUSENTE",IF(AND($C50&lt;&gt;"Ativo",$C50&lt;&gt;"Inativo"),"STATUS INVÁLIDO",IF(IFERROR(OR(NOT(ISNUMBER($D50)),$D50&lt;0,MOD($D50,1)&lt;&gt;0),TRUE),"SALDO FÍSICO INVÁLIDO",IF(IFERROR(OR(NOT(ISNUMBER($E50)),$E50&lt;0,MOD($E50,1)&lt;&gt;0),TRUE),"RESERVAS INVÁLIDAS",IF(AND($F50&lt;&gt;"",IFERROR(OR(NOT(ISNUMBER($F50)),$F50&lt;0,MOD($F50,1)&lt;&gt;0),TRUE)),"ESTOQUE DE SEGURANÇA INVÁLIDO",IF(IFERROR(OR(NOT(ISNUMBER($G50)),$G50&gt;'Configurações'!$B$5),TRUE),"DATA INVÁLIDA",IF($E50&gt;$D50,"RESERVAS MAIORES QUE O SALDO","OK"))))))))))</f>
        <v/>
      </c>
    </row>
    <row r="51">
      <c r="A51" s="21" t="n"/>
      <c r="B51" s="21" t="n"/>
      <c r="C51" s="21" t="n"/>
      <c r="D51" s="22" t="n"/>
      <c r="E51" s="22" t="n"/>
      <c r="F51" s="22" t="n"/>
      <c r="G51" s="23" t="n"/>
      <c r="H51" s="24">
        <f>IF($A51="","",IFERROR(SUMIFS('Conciliação'!$G$6:$G$305,'Conciliação'!$B$6:$B$305,$A51,'Conciliação'!$S$6:$S$305,"OK"),0))</f>
        <v/>
      </c>
      <c r="I51" s="24">
        <f>IF($A51="","",IF(OR(NOT(ISNUMBER($D51)),NOT(ISNUMBER($E51)),AND($F51&lt;&gt;"",NOT(ISNUMBER($F51)))),"",MAX(0,$D51-$E51-$H51-IF($F51="",'Configurações'!$B$2,$F51))))</f>
        <v/>
      </c>
      <c r="J51" s="24">
        <f>IF($A51="","",IFERROR(SUMIFS('Conciliação'!$F$6:$F$305,'Conciliação'!$B$6:$B$305,$A51,'Conciliação'!$S$6:$S$305,"OK"),0))</f>
        <v/>
      </c>
      <c r="K51" s="24">
        <f>IF(OR($I51="",$J51=""),"",MAX(0,$J51-$I51))</f>
        <v/>
      </c>
      <c r="L51" s="25">
        <f>IF($A51="","",IF($C51="Inativo",IF($J51&gt;0,"INATIVO COM PUBLICAÇÃO","INATIVO"),IF($I51="","REVISAR DADOS",IF($K51&gt;0,"EXPOSIÇÃO ACIMA DO DISPONÍVEL",IF($I51=0,"SEM SALDO DISPONÍVEL",IF($G51="","SEM DATA",IF('Configurações'!$B$5-$G51&gt;'Configurações'!$B$4,"ATUALIZAÇÃO VENCIDA","OK")))))))</f>
        <v/>
      </c>
      <c r="M51" s="25">
        <f>IF(COUNTA($A51:$G51)=0,"",IF($A51="","SKU AUSENTE",IF(COUNTIF($A$6:$A$205,$A51)&gt;1,"SKU DUPLICADO",IF($B51="","PRODUTO AUSENTE",IF(AND($C51&lt;&gt;"Ativo",$C51&lt;&gt;"Inativo"),"STATUS INVÁLIDO",IF(IFERROR(OR(NOT(ISNUMBER($D51)),$D51&lt;0,MOD($D51,1)&lt;&gt;0),TRUE),"SALDO FÍSICO INVÁLIDO",IF(IFERROR(OR(NOT(ISNUMBER($E51)),$E51&lt;0,MOD($E51,1)&lt;&gt;0),TRUE),"RESERVAS INVÁLIDAS",IF(AND($F51&lt;&gt;"",IFERROR(OR(NOT(ISNUMBER($F51)),$F51&lt;0,MOD($F51,1)&lt;&gt;0),TRUE)),"ESTOQUE DE SEGURANÇA INVÁLIDO",IF(IFERROR(OR(NOT(ISNUMBER($G51)),$G51&gt;'Configurações'!$B$5),TRUE),"DATA INVÁLIDA",IF($E51&gt;$D51,"RESERVAS MAIORES QUE O SALDO","OK"))))))))))</f>
        <v/>
      </c>
    </row>
    <row r="52">
      <c r="A52" s="21" t="n"/>
      <c r="B52" s="21" t="n"/>
      <c r="C52" s="21" t="n"/>
      <c r="D52" s="22" t="n"/>
      <c r="E52" s="22" t="n"/>
      <c r="F52" s="22" t="n"/>
      <c r="G52" s="23" t="n"/>
      <c r="H52" s="24">
        <f>IF($A52="","",IFERROR(SUMIFS('Conciliação'!$G$6:$G$305,'Conciliação'!$B$6:$B$305,$A52,'Conciliação'!$S$6:$S$305,"OK"),0))</f>
        <v/>
      </c>
      <c r="I52" s="24">
        <f>IF($A52="","",IF(OR(NOT(ISNUMBER($D52)),NOT(ISNUMBER($E52)),AND($F52&lt;&gt;"",NOT(ISNUMBER($F52)))),"",MAX(0,$D52-$E52-$H52-IF($F52="",'Configurações'!$B$2,$F52))))</f>
        <v/>
      </c>
      <c r="J52" s="24">
        <f>IF($A52="","",IFERROR(SUMIFS('Conciliação'!$F$6:$F$305,'Conciliação'!$B$6:$B$305,$A52,'Conciliação'!$S$6:$S$305,"OK"),0))</f>
        <v/>
      </c>
      <c r="K52" s="24">
        <f>IF(OR($I52="",$J52=""),"",MAX(0,$J52-$I52))</f>
        <v/>
      </c>
      <c r="L52" s="25">
        <f>IF($A52="","",IF($C52="Inativo",IF($J52&gt;0,"INATIVO COM PUBLICAÇÃO","INATIVO"),IF($I52="","REVISAR DADOS",IF($K52&gt;0,"EXPOSIÇÃO ACIMA DO DISPONÍVEL",IF($I52=0,"SEM SALDO DISPONÍVEL",IF($G52="","SEM DATA",IF('Configurações'!$B$5-$G52&gt;'Configurações'!$B$4,"ATUALIZAÇÃO VENCIDA","OK")))))))</f>
        <v/>
      </c>
      <c r="M52" s="25">
        <f>IF(COUNTA($A52:$G52)=0,"",IF($A52="","SKU AUSENTE",IF(COUNTIF($A$6:$A$205,$A52)&gt;1,"SKU DUPLICADO",IF($B52="","PRODUTO AUSENTE",IF(AND($C52&lt;&gt;"Ativo",$C52&lt;&gt;"Inativo"),"STATUS INVÁLIDO",IF(IFERROR(OR(NOT(ISNUMBER($D52)),$D52&lt;0,MOD($D52,1)&lt;&gt;0),TRUE),"SALDO FÍSICO INVÁLIDO",IF(IFERROR(OR(NOT(ISNUMBER($E52)),$E52&lt;0,MOD($E52,1)&lt;&gt;0),TRUE),"RESERVAS INVÁLIDAS",IF(AND($F52&lt;&gt;"",IFERROR(OR(NOT(ISNUMBER($F52)),$F52&lt;0,MOD($F52,1)&lt;&gt;0),TRUE)),"ESTOQUE DE SEGURANÇA INVÁLIDO",IF(IFERROR(OR(NOT(ISNUMBER($G52)),$G52&gt;'Configurações'!$B$5),TRUE),"DATA INVÁLIDA",IF($E52&gt;$D52,"RESERVAS MAIORES QUE O SALDO","OK"))))))))))</f>
        <v/>
      </c>
    </row>
    <row r="53">
      <c r="A53" s="21" t="n"/>
      <c r="B53" s="21" t="n"/>
      <c r="C53" s="21" t="n"/>
      <c r="D53" s="22" t="n"/>
      <c r="E53" s="22" t="n"/>
      <c r="F53" s="22" t="n"/>
      <c r="G53" s="23" t="n"/>
      <c r="H53" s="24">
        <f>IF($A53="","",IFERROR(SUMIFS('Conciliação'!$G$6:$G$305,'Conciliação'!$B$6:$B$305,$A53,'Conciliação'!$S$6:$S$305,"OK"),0))</f>
        <v/>
      </c>
      <c r="I53" s="24">
        <f>IF($A53="","",IF(OR(NOT(ISNUMBER($D53)),NOT(ISNUMBER($E53)),AND($F53&lt;&gt;"",NOT(ISNUMBER($F53)))),"",MAX(0,$D53-$E53-$H53-IF($F53="",'Configurações'!$B$2,$F53))))</f>
        <v/>
      </c>
      <c r="J53" s="24">
        <f>IF($A53="","",IFERROR(SUMIFS('Conciliação'!$F$6:$F$305,'Conciliação'!$B$6:$B$305,$A53,'Conciliação'!$S$6:$S$305,"OK"),0))</f>
        <v/>
      </c>
      <c r="K53" s="24">
        <f>IF(OR($I53="",$J53=""),"",MAX(0,$J53-$I53))</f>
        <v/>
      </c>
      <c r="L53" s="25">
        <f>IF($A53="","",IF($C53="Inativo",IF($J53&gt;0,"INATIVO COM PUBLICAÇÃO","INATIVO"),IF($I53="","REVISAR DADOS",IF($K53&gt;0,"EXPOSIÇÃO ACIMA DO DISPONÍVEL",IF($I53=0,"SEM SALDO DISPONÍVEL",IF($G53="","SEM DATA",IF('Configurações'!$B$5-$G53&gt;'Configurações'!$B$4,"ATUALIZAÇÃO VENCIDA","OK")))))))</f>
        <v/>
      </c>
      <c r="M53" s="25">
        <f>IF(COUNTA($A53:$G53)=0,"",IF($A53="","SKU AUSENTE",IF(COUNTIF($A$6:$A$205,$A53)&gt;1,"SKU DUPLICADO",IF($B53="","PRODUTO AUSENTE",IF(AND($C53&lt;&gt;"Ativo",$C53&lt;&gt;"Inativo"),"STATUS INVÁLIDO",IF(IFERROR(OR(NOT(ISNUMBER($D53)),$D53&lt;0,MOD($D53,1)&lt;&gt;0),TRUE),"SALDO FÍSICO INVÁLIDO",IF(IFERROR(OR(NOT(ISNUMBER($E53)),$E53&lt;0,MOD($E53,1)&lt;&gt;0),TRUE),"RESERVAS INVÁLIDAS",IF(AND($F53&lt;&gt;"",IFERROR(OR(NOT(ISNUMBER($F53)),$F53&lt;0,MOD($F53,1)&lt;&gt;0),TRUE)),"ESTOQUE DE SEGURANÇA INVÁLIDO",IF(IFERROR(OR(NOT(ISNUMBER($G53)),$G53&gt;'Configurações'!$B$5),TRUE),"DATA INVÁLIDA",IF($E53&gt;$D53,"RESERVAS MAIORES QUE O SALDO","OK"))))))))))</f>
        <v/>
      </c>
    </row>
    <row r="54">
      <c r="A54" s="21" t="n"/>
      <c r="B54" s="21" t="n"/>
      <c r="C54" s="21" t="n"/>
      <c r="D54" s="22" t="n"/>
      <c r="E54" s="22" t="n"/>
      <c r="F54" s="22" t="n"/>
      <c r="G54" s="23" t="n"/>
      <c r="H54" s="24">
        <f>IF($A54="","",IFERROR(SUMIFS('Conciliação'!$G$6:$G$305,'Conciliação'!$B$6:$B$305,$A54,'Conciliação'!$S$6:$S$305,"OK"),0))</f>
        <v/>
      </c>
      <c r="I54" s="24">
        <f>IF($A54="","",IF(OR(NOT(ISNUMBER($D54)),NOT(ISNUMBER($E54)),AND($F54&lt;&gt;"",NOT(ISNUMBER($F54)))),"",MAX(0,$D54-$E54-$H54-IF($F54="",'Configurações'!$B$2,$F54))))</f>
        <v/>
      </c>
      <c r="J54" s="24">
        <f>IF($A54="","",IFERROR(SUMIFS('Conciliação'!$F$6:$F$305,'Conciliação'!$B$6:$B$305,$A54,'Conciliação'!$S$6:$S$305,"OK"),0))</f>
        <v/>
      </c>
      <c r="K54" s="24">
        <f>IF(OR($I54="",$J54=""),"",MAX(0,$J54-$I54))</f>
        <v/>
      </c>
      <c r="L54" s="25">
        <f>IF($A54="","",IF($C54="Inativo",IF($J54&gt;0,"INATIVO COM PUBLICAÇÃO","INATIVO"),IF($I54="","REVISAR DADOS",IF($K54&gt;0,"EXPOSIÇÃO ACIMA DO DISPONÍVEL",IF($I54=0,"SEM SALDO DISPONÍVEL",IF($G54="","SEM DATA",IF('Configurações'!$B$5-$G54&gt;'Configurações'!$B$4,"ATUALIZAÇÃO VENCIDA","OK")))))))</f>
        <v/>
      </c>
      <c r="M54" s="25">
        <f>IF(COUNTA($A54:$G54)=0,"",IF($A54="","SKU AUSENTE",IF(COUNTIF($A$6:$A$205,$A54)&gt;1,"SKU DUPLICADO",IF($B54="","PRODUTO AUSENTE",IF(AND($C54&lt;&gt;"Ativo",$C54&lt;&gt;"Inativo"),"STATUS INVÁLIDO",IF(IFERROR(OR(NOT(ISNUMBER($D54)),$D54&lt;0,MOD($D54,1)&lt;&gt;0),TRUE),"SALDO FÍSICO INVÁLIDO",IF(IFERROR(OR(NOT(ISNUMBER($E54)),$E54&lt;0,MOD($E54,1)&lt;&gt;0),TRUE),"RESERVAS INVÁLIDAS",IF(AND($F54&lt;&gt;"",IFERROR(OR(NOT(ISNUMBER($F54)),$F54&lt;0,MOD($F54,1)&lt;&gt;0),TRUE)),"ESTOQUE DE SEGURANÇA INVÁLIDO",IF(IFERROR(OR(NOT(ISNUMBER($G54)),$G54&gt;'Configurações'!$B$5),TRUE),"DATA INVÁLIDA",IF($E54&gt;$D54,"RESERVAS MAIORES QUE O SALDO","OK"))))))))))</f>
        <v/>
      </c>
    </row>
    <row r="55">
      <c r="A55" s="21" t="n"/>
      <c r="B55" s="21" t="n"/>
      <c r="C55" s="21" t="n"/>
      <c r="D55" s="22" t="n"/>
      <c r="E55" s="22" t="n"/>
      <c r="F55" s="22" t="n"/>
      <c r="G55" s="23" t="n"/>
      <c r="H55" s="24">
        <f>IF($A55="","",IFERROR(SUMIFS('Conciliação'!$G$6:$G$305,'Conciliação'!$B$6:$B$305,$A55,'Conciliação'!$S$6:$S$305,"OK"),0))</f>
        <v/>
      </c>
      <c r="I55" s="24">
        <f>IF($A55="","",IF(OR(NOT(ISNUMBER($D55)),NOT(ISNUMBER($E55)),AND($F55&lt;&gt;"",NOT(ISNUMBER($F55)))),"",MAX(0,$D55-$E55-$H55-IF($F55="",'Configurações'!$B$2,$F55))))</f>
        <v/>
      </c>
      <c r="J55" s="24">
        <f>IF($A55="","",IFERROR(SUMIFS('Conciliação'!$F$6:$F$305,'Conciliação'!$B$6:$B$305,$A55,'Conciliação'!$S$6:$S$305,"OK"),0))</f>
        <v/>
      </c>
      <c r="K55" s="24">
        <f>IF(OR($I55="",$J55=""),"",MAX(0,$J55-$I55))</f>
        <v/>
      </c>
      <c r="L55" s="25">
        <f>IF($A55="","",IF($C55="Inativo",IF($J55&gt;0,"INATIVO COM PUBLICAÇÃO","INATIVO"),IF($I55="","REVISAR DADOS",IF($K55&gt;0,"EXPOSIÇÃO ACIMA DO DISPONÍVEL",IF($I55=0,"SEM SALDO DISPONÍVEL",IF($G55="","SEM DATA",IF('Configurações'!$B$5-$G55&gt;'Configurações'!$B$4,"ATUALIZAÇÃO VENCIDA","OK")))))))</f>
        <v/>
      </c>
      <c r="M55" s="25">
        <f>IF(COUNTA($A55:$G55)=0,"",IF($A55="","SKU AUSENTE",IF(COUNTIF($A$6:$A$205,$A55)&gt;1,"SKU DUPLICADO",IF($B55="","PRODUTO AUSENTE",IF(AND($C55&lt;&gt;"Ativo",$C55&lt;&gt;"Inativo"),"STATUS INVÁLIDO",IF(IFERROR(OR(NOT(ISNUMBER($D55)),$D55&lt;0,MOD($D55,1)&lt;&gt;0),TRUE),"SALDO FÍSICO INVÁLIDO",IF(IFERROR(OR(NOT(ISNUMBER($E55)),$E55&lt;0,MOD($E55,1)&lt;&gt;0),TRUE),"RESERVAS INVÁLIDAS",IF(AND($F55&lt;&gt;"",IFERROR(OR(NOT(ISNUMBER($F55)),$F55&lt;0,MOD($F55,1)&lt;&gt;0),TRUE)),"ESTOQUE DE SEGURANÇA INVÁLIDO",IF(IFERROR(OR(NOT(ISNUMBER($G55)),$G55&gt;'Configurações'!$B$5),TRUE),"DATA INVÁLIDA",IF($E55&gt;$D55,"RESERVAS MAIORES QUE O SALDO","OK"))))))))))</f>
        <v/>
      </c>
    </row>
    <row r="56">
      <c r="A56" s="21" t="n"/>
      <c r="B56" s="21" t="n"/>
      <c r="C56" s="21" t="n"/>
      <c r="D56" s="22" t="n"/>
      <c r="E56" s="22" t="n"/>
      <c r="F56" s="22" t="n"/>
      <c r="G56" s="23" t="n"/>
      <c r="H56" s="24">
        <f>IF($A56="","",IFERROR(SUMIFS('Conciliação'!$G$6:$G$305,'Conciliação'!$B$6:$B$305,$A56,'Conciliação'!$S$6:$S$305,"OK"),0))</f>
        <v/>
      </c>
      <c r="I56" s="24">
        <f>IF($A56="","",IF(OR(NOT(ISNUMBER($D56)),NOT(ISNUMBER($E56)),AND($F56&lt;&gt;"",NOT(ISNUMBER($F56)))),"",MAX(0,$D56-$E56-$H56-IF($F56="",'Configurações'!$B$2,$F56))))</f>
        <v/>
      </c>
      <c r="J56" s="24">
        <f>IF($A56="","",IFERROR(SUMIFS('Conciliação'!$F$6:$F$305,'Conciliação'!$B$6:$B$305,$A56,'Conciliação'!$S$6:$S$305,"OK"),0))</f>
        <v/>
      </c>
      <c r="K56" s="24">
        <f>IF(OR($I56="",$J56=""),"",MAX(0,$J56-$I56))</f>
        <v/>
      </c>
      <c r="L56" s="25">
        <f>IF($A56="","",IF($C56="Inativo",IF($J56&gt;0,"INATIVO COM PUBLICAÇÃO","INATIVO"),IF($I56="","REVISAR DADOS",IF($K56&gt;0,"EXPOSIÇÃO ACIMA DO DISPONÍVEL",IF($I56=0,"SEM SALDO DISPONÍVEL",IF($G56="","SEM DATA",IF('Configurações'!$B$5-$G56&gt;'Configurações'!$B$4,"ATUALIZAÇÃO VENCIDA","OK")))))))</f>
        <v/>
      </c>
      <c r="M56" s="25">
        <f>IF(COUNTA($A56:$G56)=0,"",IF($A56="","SKU AUSENTE",IF(COUNTIF($A$6:$A$205,$A56)&gt;1,"SKU DUPLICADO",IF($B56="","PRODUTO AUSENTE",IF(AND($C56&lt;&gt;"Ativo",$C56&lt;&gt;"Inativo"),"STATUS INVÁLIDO",IF(IFERROR(OR(NOT(ISNUMBER($D56)),$D56&lt;0,MOD($D56,1)&lt;&gt;0),TRUE),"SALDO FÍSICO INVÁLIDO",IF(IFERROR(OR(NOT(ISNUMBER($E56)),$E56&lt;0,MOD($E56,1)&lt;&gt;0),TRUE),"RESERVAS INVÁLIDAS",IF(AND($F56&lt;&gt;"",IFERROR(OR(NOT(ISNUMBER($F56)),$F56&lt;0,MOD($F56,1)&lt;&gt;0),TRUE)),"ESTOQUE DE SEGURANÇA INVÁLIDO",IF(IFERROR(OR(NOT(ISNUMBER($G56)),$G56&gt;'Configurações'!$B$5),TRUE),"DATA INVÁLIDA",IF($E56&gt;$D56,"RESERVAS MAIORES QUE O SALDO","OK"))))))))))</f>
        <v/>
      </c>
    </row>
    <row r="57">
      <c r="A57" s="21" t="n"/>
      <c r="B57" s="21" t="n"/>
      <c r="C57" s="21" t="n"/>
      <c r="D57" s="22" t="n"/>
      <c r="E57" s="22" t="n"/>
      <c r="F57" s="22" t="n"/>
      <c r="G57" s="23" t="n"/>
      <c r="H57" s="24">
        <f>IF($A57="","",IFERROR(SUMIFS('Conciliação'!$G$6:$G$305,'Conciliação'!$B$6:$B$305,$A57,'Conciliação'!$S$6:$S$305,"OK"),0))</f>
        <v/>
      </c>
      <c r="I57" s="24">
        <f>IF($A57="","",IF(OR(NOT(ISNUMBER($D57)),NOT(ISNUMBER($E57)),AND($F57&lt;&gt;"",NOT(ISNUMBER($F57)))),"",MAX(0,$D57-$E57-$H57-IF($F57="",'Configurações'!$B$2,$F57))))</f>
        <v/>
      </c>
      <c r="J57" s="24">
        <f>IF($A57="","",IFERROR(SUMIFS('Conciliação'!$F$6:$F$305,'Conciliação'!$B$6:$B$305,$A57,'Conciliação'!$S$6:$S$305,"OK"),0))</f>
        <v/>
      </c>
      <c r="K57" s="24">
        <f>IF(OR($I57="",$J57=""),"",MAX(0,$J57-$I57))</f>
        <v/>
      </c>
      <c r="L57" s="25">
        <f>IF($A57="","",IF($C57="Inativo",IF($J57&gt;0,"INATIVO COM PUBLICAÇÃO","INATIVO"),IF($I57="","REVISAR DADOS",IF($K57&gt;0,"EXPOSIÇÃO ACIMA DO DISPONÍVEL",IF($I57=0,"SEM SALDO DISPONÍVEL",IF($G57="","SEM DATA",IF('Configurações'!$B$5-$G57&gt;'Configurações'!$B$4,"ATUALIZAÇÃO VENCIDA","OK")))))))</f>
        <v/>
      </c>
      <c r="M57" s="25">
        <f>IF(COUNTA($A57:$G57)=0,"",IF($A57="","SKU AUSENTE",IF(COUNTIF($A$6:$A$205,$A57)&gt;1,"SKU DUPLICADO",IF($B57="","PRODUTO AUSENTE",IF(AND($C57&lt;&gt;"Ativo",$C57&lt;&gt;"Inativo"),"STATUS INVÁLIDO",IF(IFERROR(OR(NOT(ISNUMBER($D57)),$D57&lt;0,MOD($D57,1)&lt;&gt;0),TRUE),"SALDO FÍSICO INVÁLIDO",IF(IFERROR(OR(NOT(ISNUMBER($E57)),$E57&lt;0,MOD($E57,1)&lt;&gt;0),TRUE),"RESERVAS INVÁLIDAS",IF(AND($F57&lt;&gt;"",IFERROR(OR(NOT(ISNUMBER($F57)),$F57&lt;0,MOD($F57,1)&lt;&gt;0),TRUE)),"ESTOQUE DE SEGURANÇA INVÁLIDO",IF(IFERROR(OR(NOT(ISNUMBER($G57)),$G57&gt;'Configurações'!$B$5),TRUE),"DATA INVÁLIDA",IF($E57&gt;$D57,"RESERVAS MAIORES QUE O SALDO","OK"))))))))))</f>
        <v/>
      </c>
    </row>
    <row r="58">
      <c r="A58" s="21" t="n"/>
      <c r="B58" s="21" t="n"/>
      <c r="C58" s="21" t="n"/>
      <c r="D58" s="22" t="n"/>
      <c r="E58" s="22" t="n"/>
      <c r="F58" s="22" t="n"/>
      <c r="G58" s="23" t="n"/>
      <c r="H58" s="24">
        <f>IF($A58="","",IFERROR(SUMIFS('Conciliação'!$G$6:$G$305,'Conciliação'!$B$6:$B$305,$A58,'Conciliação'!$S$6:$S$305,"OK"),0))</f>
        <v/>
      </c>
      <c r="I58" s="24">
        <f>IF($A58="","",IF(OR(NOT(ISNUMBER($D58)),NOT(ISNUMBER($E58)),AND($F58&lt;&gt;"",NOT(ISNUMBER($F58)))),"",MAX(0,$D58-$E58-$H58-IF($F58="",'Configurações'!$B$2,$F58))))</f>
        <v/>
      </c>
      <c r="J58" s="24">
        <f>IF($A58="","",IFERROR(SUMIFS('Conciliação'!$F$6:$F$305,'Conciliação'!$B$6:$B$305,$A58,'Conciliação'!$S$6:$S$305,"OK"),0))</f>
        <v/>
      </c>
      <c r="K58" s="24">
        <f>IF(OR($I58="",$J58=""),"",MAX(0,$J58-$I58))</f>
        <v/>
      </c>
      <c r="L58" s="25">
        <f>IF($A58="","",IF($C58="Inativo",IF($J58&gt;0,"INATIVO COM PUBLICAÇÃO","INATIVO"),IF($I58="","REVISAR DADOS",IF($K58&gt;0,"EXPOSIÇÃO ACIMA DO DISPONÍVEL",IF($I58=0,"SEM SALDO DISPONÍVEL",IF($G58="","SEM DATA",IF('Configurações'!$B$5-$G58&gt;'Configurações'!$B$4,"ATUALIZAÇÃO VENCIDA","OK")))))))</f>
        <v/>
      </c>
      <c r="M58" s="25">
        <f>IF(COUNTA($A58:$G58)=0,"",IF($A58="","SKU AUSENTE",IF(COUNTIF($A$6:$A$205,$A58)&gt;1,"SKU DUPLICADO",IF($B58="","PRODUTO AUSENTE",IF(AND($C58&lt;&gt;"Ativo",$C58&lt;&gt;"Inativo"),"STATUS INVÁLIDO",IF(IFERROR(OR(NOT(ISNUMBER($D58)),$D58&lt;0,MOD($D58,1)&lt;&gt;0),TRUE),"SALDO FÍSICO INVÁLIDO",IF(IFERROR(OR(NOT(ISNUMBER($E58)),$E58&lt;0,MOD($E58,1)&lt;&gt;0),TRUE),"RESERVAS INVÁLIDAS",IF(AND($F58&lt;&gt;"",IFERROR(OR(NOT(ISNUMBER($F58)),$F58&lt;0,MOD($F58,1)&lt;&gt;0),TRUE)),"ESTOQUE DE SEGURANÇA INVÁLIDO",IF(IFERROR(OR(NOT(ISNUMBER($G58)),$G58&gt;'Configurações'!$B$5),TRUE),"DATA INVÁLIDA",IF($E58&gt;$D58,"RESERVAS MAIORES QUE O SALDO","OK"))))))))))</f>
        <v/>
      </c>
    </row>
    <row r="59">
      <c r="A59" s="21" t="n"/>
      <c r="B59" s="21" t="n"/>
      <c r="C59" s="21" t="n"/>
      <c r="D59" s="22" t="n"/>
      <c r="E59" s="22" t="n"/>
      <c r="F59" s="22" t="n"/>
      <c r="G59" s="23" t="n"/>
      <c r="H59" s="24">
        <f>IF($A59="","",IFERROR(SUMIFS('Conciliação'!$G$6:$G$305,'Conciliação'!$B$6:$B$305,$A59,'Conciliação'!$S$6:$S$305,"OK"),0))</f>
        <v/>
      </c>
      <c r="I59" s="24">
        <f>IF($A59="","",IF(OR(NOT(ISNUMBER($D59)),NOT(ISNUMBER($E59)),AND($F59&lt;&gt;"",NOT(ISNUMBER($F59)))),"",MAX(0,$D59-$E59-$H59-IF($F59="",'Configurações'!$B$2,$F59))))</f>
        <v/>
      </c>
      <c r="J59" s="24">
        <f>IF($A59="","",IFERROR(SUMIFS('Conciliação'!$F$6:$F$305,'Conciliação'!$B$6:$B$305,$A59,'Conciliação'!$S$6:$S$305,"OK"),0))</f>
        <v/>
      </c>
      <c r="K59" s="24">
        <f>IF(OR($I59="",$J59=""),"",MAX(0,$J59-$I59))</f>
        <v/>
      </c>
      <c r="L59" s="25">
        <f>IF($A59="","",IF($C59="Inativo",IF($J59&gt;0,"INATIVO COM PUBLICAÇÃO","INATIVO"),IF($I59="","REVISAR DADOS",IF($K59&gt;0,"EXPOSIÇÃO ACIMA DO DISPONÍVEL",IF($I59=0,"SEM SALDO DISPONÍVEL",IF($G59="","SEM DATA",IF('Configurações'!$B$5-$G59&gt;'Configurações'!$B$4,"ATUALIZAÇÃO VENCIDA","OK")))))))</f>
        <v/>
      </c>
      <c r="M59" s="25">
        <f>IF(COUNTA($A59:$G59)=0,"",IF($A59="","SKU AUSENTE",IF(COUNTIF($A$6:$A$205,$A59)&gt;1,"SKU DUPLICADO",IF($B59="","PRODUTO AUSENTE",IF(AND($C59&lt;&gt;"Ativo",$C59&lt;&gt;"Inativo"),"STATUS INVÁLIDO",IF(IFERROR(OR(NOT(ISNUMBER($D59)),$D59&lt;0,MOD($D59,1)&lt;&gt;0),TRUE),"SALDO FÍSICO INVÁLIDO",IF(IFERROR(OR(NOT(ISNUMBER($E59)),$E59&lt;0,MOD($E59,1)&lt;&gt;0),TRUE),"RESERVAS INVÁLIDAS",IF(AND($F59&lt;&gt;"",IFERROR(OR(NOT(ISNUMBER($F59)),$F59&lt;0,MOD($F59,1)&lt;&gt;0),TRUE)),"ESTOQUE DE SEGURANÇA INVÁLIDO",IF(IFERROR(OR(NOT(ISNUMBER($G59)),$G59&gt;'Configurações'!$B$5),TRUE),"DATA INVÁLIDA",IF($E59&gt;$D59,"RESERVAS MAIORES QUE O SALDO","OK"))))))))))</f>
        <v/>
      </c>
    </row>
    <row r="60">
      <c r="A60" s="21" t="n"/>
      <c r="B60" s="21" t="n"/>
      <c r="C60" s="21" t="n"/>
      <c r="D60" s="22" t="n"/>
      <c r="E60" s="22" t="n"/>
      <c r="F60" s="22" t="n"/>
      <c r="G60" s="23" t="n"/>
      <c r="H60" s="24">
        <f>IF($A60="","",IFERROR(SUMIFS('Conciliação'!$G$6:$G$305,'Conciliação'!$B$6:$B$305,$A60,'Conciliação'!$S$6:$S$305,"OK"),0))</f>
        <v/>
      </c>
      <c r="I60" s="24">
        <f>IF($A60="","",IF(OR(NOT(ISNUMBER($D60)),NOT(ISNUMBER($E60)),AND($F60&lt;&gt;"",NOT(ISNUMBER($F60)))),"",MAX(0,$D60-$E60-$H60-IF($F60="",'Configurações'!$B$2,$F60))))</f>
        <v/>
      </c>
      <c r="J60" s="24">
        <f>IF($A60="","",IFERROR(SUMIFS('Conciliação'!$F$6:$F$305,'Conciliação'!$B$6:$B$305,$A60,'Conciliação'!$S$6:$S$305,"OK"),0))</f>
        <v/>
      </c>
      <c r="K60" s="24">
        <f>IF(OR($I60="",$J60=""),"",MAX(0,$J60-$I60))</f>
        <v/>
      </c>
      <c r="L60" s="25">
        <f>IF($A60="","",IF($C60="Inativo",IF($J60&gt;0,"INATIVO COM PUBLICAÇÃO","INATIVO"),IF($I60="","REVISAR DADOS",IF($K60&gt;0,"EXPOSIÇÃO ACIMA DO DISPONÍVEL",IF($I60=0,"SEM SALDO DISPONÍVEL",IF($G60="","SEM DATA",IF('Configurações'!$B$5-$G60&gt;'Configurações'!$B$4,"ATUALIZAÇÃO VENCIDA","OK")))))))</f>
        <v/>
      </c>
      <c r="M60" s="25">
        <f>IF(COUNTA($A60:$G60)=0,"",IF($A60="","SKU AUSENTE",IF(COUNTIF($A$6:$A$205,$A60)&gt;1,"SKU DUPLICADO",IF($B60="","PRODUTO AUSENTE",IF(AND($C60&lt;&gt;"Ativo",$C60&lt;&gt;"Inativo"),"STATUS INVÁLIDO",IF(IFERROR(OR(NOT(ISNUMBER($D60)),$D60&lt;0,MOD($D60,1)&lt;&gt;0),TRUE),"SALDO FÍSICO INVÁLIDO",IF(IFERROR(OR(NOT(ISNUMBER($E60)),$E60&lt;0,MOD($E60,1)&lt;&gt;0),TRUE),"RESERVAS INVÁLIDAS",IF(AND($F60&lt;&gt;"",IFERROR(OR(NOT(ISNUMBER($F60)),$F60&lt;0,MOD($F60,1)&lt;&gt;0),TRUE)),"ESTOQUE DE SEGURANÇA INVÁLIDO",IF(IFERROR(OR(NOT(ISNUMBER($G60)),$G60&gt;'Configurações'!$B$5),TRUE),"DATA INVÁLIDA",IF($E60&gt;$D60,"RESERVAS MAIORES QUE O SALDO","OK"))))))))))</f>
        <v/>
      </c>
    </row>
    <row r="61">
      <c r="A61" s="21" t="n"/>
      <c r="B61" s="21" t="n"/>
      <c r="C61" s="21" t="n"/>
      <c r="D61" s="22" t="n"/>
      <c r="E61" s="22" t="n"/>
      <c r="F61" s="22" t="n"/>
      <c r="G61" s="23" t="n"/>
      <c r="H61" s="24">
        <f>IF($A61="","",IFERROR(SUMIFS('Conciliação'!$G$6:$G$305,'Conciliação'!$B$6:$B$305,$A61,'Conciliação'!$S$6:$S$305,"OK"),0))</f>
        <v/>
      </c>
      <c r="I61" s="24">
        <f>IF($A61="","",IF(OR(NOT(ISNUMBER($D61)),NOT(ISNUMBER($E61)),AND($F61&lt;&gt;"",NOT(ISNUMBER($F61)))),"",MAX(0,$D61-$E61-$H61-IF($F61="",'Configurações'!$B$2,$F61))))</f>
        <v/>
      </c>
      <c r="J61" s="24">
        <f>IF($A61="","",IFERROR(SUMIFS('Conciliação'!$F$6:$F$305,'Conciliação'!$B$6:$B$305,$A61,'Conciliação'!$S$6:$S$305,"OK"),0))</f>
        <v/>
      </c>
      <c r="K61" s="24">
        <f>IF(OR($I61="",$J61=""),"",MAX(0,$J61-$I61))</f>
        <v/>
      </c>
      <c r="L61" s="25">
        <f>IF($A61="","",IF($C61="Inativo",IF($J61&gt;0,"INATIVO COM PUBLICAÇÃO","INATIVO"),IF($I61="","REVISAR DADOS",IF($K61&gt;0,"EXPOSIÇÃO ACIMA DO DISPONÍVEL",IF($I61=0,"SEM SALDO DISPONÍVEL",IF($G61="","SEM DATA",IF('Configurações'!$B$5-$G61&gt;'Configurações'!$B$4,"ATUALIZAÇÃO VENCIDA","OK")))))))</f>
        <v/>
      </c>
      <c r="M61" s="25">
        <f>IF(COUNTA($A61:$G61)=0,"",IF($A61="","SKU AUSENTE",IF(COUNTIF($A$6:$A$205,$A61)&gt;1,"SKU DUPLICADO",IF($B61="","PRODUTO AUSENTE",IF(AND($C61&lt;&gt;"Ativo",$C61&lt;&gt;"Inativo"),"STATUS INVÁLIDO",IF(IFERROR(OR(NOT(ISNUMBER($D61)),$D61&lt;0,MOD($D61,1)&lt;&gt;0),TRUE),"SALDO FÍSICO INVÁLIDO",IF(IFERROR(OR(NOT(ISNUMBER($E61)),$E61&lt;0,MOD($E61,1)&lt;&gt;0),TRUE),"RESERVAS INVÁLIDAS",IF(AND($F61&lt;&gt;"",IFERROR(OR(NOT(ISNUMBER($F61)),$F61&lt;0,MOD($F61,1)&lt;&gt;0),TRUE)),"ESTOQUE DE SEGURANÇA INVÁLIDO",IF(IFERROR(OR(NOT(ISNUMBER($G61)),$G61&gt;'Configurações'!$B$5),TRUE),"DATA INVÁLIDA",IF($E61&gt;$D61,"RESERVAS MAIORES QUE O SALDO","OK"))))))))))</f>
        <v/>
      </c>
    </row>
    <row r="62">
      <c r="A62" s="21" t="n"/>
      <c r="B62" s="21" t="n"/>
      <c r="C62" s="21" t="n"/>
      <c r="D62" s="22" t="n"/>
      <c r="E62" s="22" t="n"/>
      <c r="F62" s="22" t="n"/>
      <c r="G62" s="23" t="n"/>
      <c r="H62" s="24">
        <f>IF($A62="","",IFERROR(SUMIFS('Conciliação'!$G$6:$G$305,'Conciliação'!$B$6:$B$305,$A62,'Conciliação'!$S$6:$S$305,"OK"),0))</f>
        <v/>
      </c>
      <c r="I62" s="24">
        <f>IF($A62="","",IF(OR(NOT(ISNUMBER($D62)),NOT(ISNUMBER($E62)),AND($F62&lt;&gt;"",NOT(ISNUMBER($F62)))),"",MAX(0,$D62-$E62-$H62-IF($F62="",'Configurações'!$B$2,$F62))))</f>
        <v/>
      </c>
      <c r="J62" s="24">
        <f>IF($A62="","",IFERROR(SUMIFS('Conciliação'!$F$6:$F$305,'Conciliação'!$B$6:$B$305,$A62,'Conciliação'!$S$6:$S$305,"OK"),0))</f>
        <v/>
      </c>
      <c r="K62" s="24">
        <f>IF(OR($I62="",$J62=""),"",MAX(0,$J62-$I62))</f>
        <v/>
      </c>
      <c r="L62" s="25">
        <f>IF($A62="","",IF($C62="Inativo",IF($J62&gt;0,"INATIVO COM PUBLICAÇÃO","INATIVO"),IF($I62="","REVISAR DADOS",IF($K62&gt;0,"EXPOSIÇÃO ACIMA DO DISPONÍVEL",IF($I62=0,"SEM SALDO DISPONÍVEL",IF($G62="","SEM DATA",IF('Configurações'!$B$5-$G62&gt;'Configurações'!$B$4,"ATUALIZAÇÃO VENCIDA","OK")))))))</f>
        <v/>
      </c>
      <c r="M62" s="25">
        <f>IF(COUNTA($A62:$G62)=0,"",IF($A62="","SKU AUSENTE",IF(COUNTIF($A$6:$A$205,$A62)&gt;1,"SKU DUPLICADO",IF($B62="","PRODUTO AUSENTE",IF(AND($C62&lt;&gt;"Ativo",$C62&lt;&gt;"Inativo"),"STATUS INVÁLIDO",IF(IFERROR(OR(NOT(ISNUMBER($D62)),$D62&lt;0,MOD($D62,1)&lt;&gt;0),TRUE),"SALDO FÍSICO INVÁLIDO",IF(IFERROR(OR(NOT(ISNUMBER($E62)),$E62&lt;0,MOD($E62,1)&lt;&gt;0),TRUE),"RESERVAS INVÁLIDAS",IF(AND($F62&lt;&gt;"",IFERROR(OR(NOT(ISNUMBER($F62)),$F62&lt;0,MOD($F62,1)&lt;&gt;0),TRUE)),"ESTOQUE DE SEGURANÇA INVÁLIDO",IF(IFERROR(OR(NOT(ISNUMBER($G62)),$G62&gt;'Configurações'!$B$5),TRUE),"DATA INVÁLIDA",IF($E62&gt;$D62,"RESERVAS MAIORES QUE O SALDO","OK"))))))))))</f>
        <v/>
      </c>
    </row>
    <row r="63">
      <c r="A63" s="21" t="n"/>
      <c r="B63" s="21" t="n"/>
      <c r="C63" s="21" t="n"/>
      <c r="D63" s="22" t="n"/>
      <c r="E63" s="22" t="n"/>
      <c r="F63" s="22" t="n"/>
      <c r="G63" s="23" t="n"/>
      <c r="H63" s="24">
        <f>IF($A63="","",IFERROR(SUMIFS('Conciliação'!$G$6:$G$305,'Conciliação'!$B$6:$B$305,$A63,'Conciliação'!$S$6:$S$305,"OK"),0))</f>
        <v/>
      </c>
      <c r="I63" s="24">
        <f>IF($A63="","",IF(OR(NOT(ISNUMBER($D63)),NOT(ISNUMBER($E63)),AND($F63&lt;&gt;"",NOT(ISNUMBER($F63)))),"",MAX(0,$D63-$E63-$H63-IF($F63="",'Configurações'!$B$2,$F63))))</f>
        <v/>
      </c>
      <c r="J63" s="24">
        <f>IF($A63="","",IFERROR(SUMIFS('Conciliação'!$F$6:$F$305,'Conciliação'!$B$6:$B$305,$A63,'Conciliação'!$S$6:$S$305,"OK"),0))</f>
        <v/>
      </c>
      <c r="K63" s="24">
        <f>IF(OR($I63="",$J63=""),"",MAX(0,$J63-$I63))</f>
        <v/>
      </c>
      <c r="L63" s="25">
        <f>IF($A63="","",IF($C63="Inativo",IF($J63&gt;0,"INATIVO COM PUBLICAÇÃO","INATIVO"),IF($I63="","REVISAR DADOS",IF($K63&gt;0,"EXPOSIÇÃO ACIMA DO DISPONÍVEL",IF($I63=0,"SEM SALDO DISPONÍVEL",IF($G63="","SEM DATA",IF('Configurações'!$B$5-$G63&gt;'Configurações'!$B$4,"ATUALIZAÇÃO VENCIDA","OK")))))))</f>
        <v/>
      </c>
      <c r="M63" s="25">
        <f>IF(COUNTA($A63:$G63)=0,"",IF($A63="","SKU AUSENTE",IF(COUNTIF($A$6:$A$205,$A63)&gt;1,"SKU DUPLICADO",IF($B63="","PRODUTO AUSENTE",IF(AND($C63&lt;&gt;"Ativo",$C63&lt;&gt;"Inativo"),"STATUS INVÁLIDO",IF(IFERROR(OR(NOT(ISNUMBER($D63)),$D63&lt;0,MOD($D63,1)&lt;&gt;0),TRUE),"SALDO FÍSICO INVÁLIDO",IF(IFERROR(OR(NOT(ISNUMBER($E63)),$E63&lt;0,MOD($E63,1)&lt;&gt;0),TRUE),"RESERVAS INVÁLIDAS",IF(AND($F63&lt;&gt;"",IFERROR(OR(NOT(ISNUMBER($F63)),$F63&lt;0,MOD($F63,1)&lt;&gt;0),TRUE)),"ESTOQUE DE SEGURANÇA INVÁLIDO",IF(IFERROR(OR(NOT(ISNUMBER($G63)),$G63&gt;'Configurações'!$B$5),TRUE),"DATA INVÁLIDA",IF($E63&gt;$D63,"RESERVAS MAIORES QUE O SALDO","OK"))))))))))</f>
        <v/>
      </c>
    </row>
    <row r="64">
      <c r="A64" s="21" t="n"/>
      <c r="B64" s="21" t="n"/>
      <c r="C64" s="21" t="n"/>
      <c r="D64" s="22" t="n"/>
      <c r="E64" s="22" t="n"/>
      <c r="F64" s="22" t="n"/>
      <c r="G64" s="23" t="n"/>
      <c r="H64" s="24">
        <f>IF($A64="","",IFERROR(SUMIFS('Conciliação'!$G$6:$G$305,'Conciliação'!$B$6:$B$305,$A64,'Conciliação'!$S$6:$S$305,"OK"),0))</f>
        <v/>
      </c>
      <c r="I64" s="24">
        <f>IF($A64="","",IF(OR(NOT(ISNUMBER($D64)),NOT(ISNUMBER($E64)),AND($F64&lt;&gt;"",NOT(ISNUMBER($F64)))),"",MAX(0,$D64-$E64-$H64-IF($F64="",'Configurações'!$B$2,$F64))))</f>
        <v/>
      </c>
      <c r="J64" s="24">
        <f>IF($A64="","",IFERROR(SUMIFS('Conciliação'!$F$6:$F$305,'Conciliação'!$B$6:$B$305,$A64,'Conciliação'!$S$6:$S$305,"OK"),0))</f>
        <v/>
      </c>
      <c r="K64" s="24">
        <f>IF(OR($I64="",$J64=""),"",MAX(0,$J64-$I64))</f>
        <v/>
      </c>
      <c r="L64" s="25">
        <f>IF($A64="","",IF($C64="Inativo",IF($J64&gt;0,"INATIVO COM PUBLICAÇÃO","INATIVO"),IF($I64="","REVISAR DADOS",IF($K64&gt;0,"EXPOSIÇÃO ACIMA DO DISPONÍVEL",IF($I64=0,"SEM SALDO DISPONÍVEL",IF($G64="","SEM DATA",IF('Configurações'!$B$5-$G64&gt;'Configurações'!$B$4,"ATUALIZAÇÃO VENCIDA","OK")))))))</f>
        <v/>
      </c>
      <c r="M64" s="25">
        <f>IF(COUNTA($A64:$G64)=0,"",IF($A64="","SKU AUSENTE",IF(COUNTIF($A$6:$A$205,$A64)&gt;1,"SKU DUPLICADO",IF($B64="","PRODUTO AUSENTE",IF(AND($C64&lt;&gt;"Ativo",$C64&lt;&gt;"Inativo"),"STATUS INVÁLIDO",IF(IFERROR(OR(NOT(ISNUMBER($D64)),$D64&lt;0,MOD($D64,1)&lt;&gt;0),TRUE),"SALDO FÍSICO INVÁLIDO",IF(IFERROR(OR(NOT(ISNUMBER($E64)),$E64&lt;0,MOD($E64,1)&lt;&gt;0),TRUE),"RESERVAS INVÁLIDAS",IF(AND($F64&lt;&gt;"",IFERROR(OR(NOT(ISNUMBER($F64)),$F64&lt;0,MOD($F64,1)&lt;&gt;0),TRUE)),"ESTOQUE DE SEGURANÇA INVÁLIDO",IF(IFERROR(OR(NOT(ISNUMBER($G64)),$G64&gt;'Configurações'!$B$5),TRUE),"DATA INVÁLIDA",IF($E64&gt;$D64,"RESERVAS MAIORES QUE O SALDO","OK"))))))))))</f>
        <v/>
      </c>
    </row>
    <row r="65">
      <c r="A65" s="21" t="n"/>
      <c r="B65" s="21" t="n"/>
      <c r="C65" s="21" t="n"/>
      <c r="D65" s="22" t="n"/>
      <c r="E65" s="22" t="n"/>
      <c r="F65" s="22" t="n"/>
      <c r="G65" s="23" t="n"/>
      <c r="H65" s="24">
        <f>IF($A65="","",IFERROR(SUMIFS('Conciliação'!$G$6:$G$305,'Conciliação'!$B$6:$B$305,$A65,'Conciliação'!$S$6:$S$305,"OK"),0))</f>
        <v/>
      </c>
      <c r="I65" s="24">
        <f>IF($A65="","",IF(OR(NOT(ISNUMBER($D65)),NOT(ISNUMBER($E65)),AND($F65&lt;&gt;"",NOT(ISNUMBER($F65)))),"",MAX(0,$D65-$E65-$H65-IF($F65="",'Configurações'!$B$2,$F65))))</f>
        <v/>
      </c>
      <c r="J65" s="24">
        <f>IF($A65="","",IFERROR(SUMIFS('Conciliação'!$F$6:$F$305,'Conciliação'!$B$6:$B$305,$A65,'Conciliação'!$S$6:$S$305,"OK"),0))</f>
        <v/>
      </c>
      <c r="K65" s="24">
        <f>IF(OR($I65="",$J65=""),"",MAX(0,$J65-$I65))</f>
        <v/>
      </c>
      <c r="L65" s="25">
        <f>IF($A65="","",IF($C65="Inativo",IF($J65&gt;0,"INATIVO COM PUBLICAÇÃO","INATIVO"),IF($I65="","REVISAR DADOS",IF($K65&gt;0,"EXPOSIÇÃO ACIMA DO DISPONÍVEL",IF($I65=0,"SEM SALDO DISPONÍVEL",IF($G65="","SEM DATA",IF('Configurações'!$B$5-$G65&gt;'Configurações'!$B$4,"ATUALIZAÇÃO VENCIDA","OK")))))))</f>
        <v/>
      </c>
      <c r="M65" s="25">
        <f>IF(COUNTA($A65:$G65)=0,"",IF($A65="","SKU AUSENTE",IF(COUNTIF($A$6:$A$205,$A65)&gt;1,"SKU DUPLICADO",IF($B65="","PRODUTO AUSENTE",IF(AND($C65&lt;&gt;"Ativo",$C65&lt;&gt;"Inativo"),"STATUS INVÁLIDO",IF(IFERROR(OR(NOT(ISNUMBER($D65)),$D65&lt;0,MOD($D65,1)&lt;&gt;0),TRUE),"SALDO FÍSICO INVÁLIDO",IF(IFERROR(OR(NOT(ISNUMBER($E65)),$E65&lt;0,MOD($E65,1)&lt;&gt;0),TRUE),"RESERVAS INVÁLIDAS",IF(AND($F65&lt;&gt;"",IFERROR(OR(NOT(ISNUMBER($F65)),$F65&lt;0,MOD($F65,1)&lt;&gt;0),TRUE)),"ESTOQUE DE SEGURANÇA INVÁLIDO",IF(IFERROR(OR(NOT(ISNUMBER($G65)),$G65&gt;'Configurações'!$B$5),TRUE),"DATA INVÁLIDA",IF($E65&gt;$D65,"RESERVAS MAIORES QUE O SALDO","OK"))))))))))</f>
        <v/>
      </c>
    </row>
    <row r="66">
      <c r="A66" s="21" t="n"/>
      <c r="B66" s="21" t="n"/>
      <c r="C66" s="21" t="n"/>
      <c r="D66" s="22" t="n"/>
      <c r="E66" s="22" t="n"/>
      <c r="F66" s="22" t="n"/>
      <c r="G66" s="23" t="n"/>
      <c r="H66" s="24">
        <f>IF($A66="","",IFERROR(SUMIFS('Conciliação'!$G$6:$G$305,'Conciliação'!$B$6:$B$305,$A66,'Conciliação'!$S$6:$S$305,"OK"),0))</f>
        <v/>
      </c>
      <c r="I66" s="24">
        <f>IF($A66="","",IF(OR(NOT(ISNUMBER($D66)),NOT(ISNUMBER($E66)),AND($F66&lt;&gt;"",NOT(ISNUMBER($F66)))),"",MAX(0,$D66-$E66-$H66-IF($F66="",'Configurações'!$B$2,$F66))))</f>
        <v/>
      </c>
      <c r="J66" s="24">
        <f>IF($A66="","",IFERROR(SUMIFS('Conciliação'!$F$6:$F$305,'Conciliação'!$B$6:$B$305,$A66,'Conciliação'!$S$6:$S$305,"OK"),0))</f>
        <v/>
      </c>
      <c r="K66" s="24">
        <f>IF(OR($I66="",$J66=""),"",MAX(0,$J66-$I66))</f>
        <v/>
      </c>
      <c r="L66" s="25">
        <f>IF($A66="","",IF($C66="Inativo",IF($J66&gt;0,"INATIVO COM PUBLICAÇÃO","INATIVO"),IF($I66="","REVISAR DADOS",IF($K66&gt;0,"EXPOSIÇÃO ACIMA DO DISPONÍVEL",IF($I66=0,"SEM SALDO DISPONÍVEL",IF($G66="","SEM DATA",IF('Configurações'!$B$5-$G66&gt;'Configurações'!$B$4,"ATUALIZAÇÃO VENCIDA","OK")))))))</f>
        <v/>
      </c>
      <c r="M66" s="25">
        <f>IF(COUNTA($A66:$G66)=0,"",IF($A66="","SKU AUSENTE",IF(COUNTIF($A$6:$A$205,$A66)&gt;1,"SKU DUPLICADO",IF($B66="","PRODUTO AUSENTE",IF(AND($C66&lt;&gt;"Ativo",$C66&lt;&gt;"Inativo"),"STATUS INVÁLIDO",IF(IFERROR(OR(NOT(ISNUMBER($D66)),$D66&lt;0,MOD($D66,1)&lt;&gt;0),TRUE),"SALDO FÍSICO INVÁLIDO",IF(IFERROR(OR(NOT(ISNUMBER($E66)),$E66&lt;0,MOD($E66,1)&lt;&gt;0),TRUE),"RESERVAS INVÁLIDAS",IF(AND($F66&lt;&gt;"",IFERROR(OR(NOT(ISNUMBER($F66)),$F66&lt;0,MOD($F66,1)&lt;&gt;0),TRUE)),"ESTOQUE DE SEGURANÇA INVÁLIDO",IF(IFERROR(OR(NOT(ISNUMBER($G66)),$G66&gt;'Configurações'!$B$5),TRUE),"DATA INVÁLIDA",IF($E66&gt;$D66,"RESERVAS MAIORES QUE O SALDO","OK"))))))))))</f>
        <v/>
      </c>
    </row>
    <row r="67">
      <c r="A67" s="21" t="n"/>
      <c r="B67" s="21" t="n"/>
      <c r="C67" s="21" t="n"/>
      <c r="D67" s="22" t="n"/>
      <c r="E67" s="22" t="n"/>
      <c r="F67" s="22" t="n"/>
      <c r="G67" s="23" t="n"/>
      <c r="H67" s="24">
        <f>IF($A67="","",IFERROR(SUMIFS('Conciliação'!$G$6:$G$305,'Conciliação'!$B$6:$B$305,$A67,'Conciliação'!$S$6:$S$305,"OK"),0))</f>
        <v/>
      </c>
      <c r="I67" s="24">
        <f>IF($A67="","",IF(OR(NOT(ISNUMBER($D67)),NOT(ISNUMBER($E67)),AND($F67&lt;&gt;"",NOT(ISNUMBER($F67)))),"",MAX(0,$D67-$E67-$H67-IF($F67="",'Configurações'!$B$2,$F67))))</f>
        <v/>
      </c>
      <c r="J67" s="24">
        <f>IF($A67="","",IFERROR(SUMIFS('Conciliação'!$F$6:$F$305,'Conciliação'!$B$6:$B$305,$A67,'Conciliação'!$S$6:$S$305,"OK"),0))</f>
        <v/>
      </c>
      <c r="K67" s="24">
        <f>IF(OR($I67="",$J67=""),"",MAX(0,$J67-$I67))</f>
        <v/>
      </c>
      <c r="L67" s="25">
        <f>IF($A67="","",IF($C67="Inativo",IF($J67&gt;0,"INATIVO COM PUBLICAÇÃO","INATIVO"),IF($I67="","REVISAR DADOS",IF($K67&gt;0,"EXPOSIÇÃO ACIMA DO DISPONÍVEL",IF($I67=0,"SEM SALDO DISPONÍVEL",IF($G67="","SEM DATA",IF('Configurações'!$B$5-$G67&gt;'Configurações'!$B$4,"ATUALIZAÇÃO VENCIDA","OK")))))))</f>
        <v/>
      </c>
      <c r="M67" s="25">
        <f>IF(COUNTA($A67:$G67)=0,"",IF($A67="","SKU AUSENTE",IF(COUNTIF($A$6:$A$205,$A67)&gt;1,"SKU DUPLICADO",IF($B67="","PRODUTO AUSENTE",IF(AND($C67&lt;&gt;"Ativo",$C67&lt;&gt;"Inativo"),"STATUS INVÁLIDO",IF(IFERROR(OR(NOT(ISNUMBER($D67)),$D67&lt;0,MOD($D67,1)&lt;&gt;0),TRUE),"SALDO FÍSICO INVÁLIDO",IF(IFERROR(OR(NOT(ISNUMBER($E67)),$E67&lt;0,MOD($E67,1)&lt;&gt;0),TRUE),"RESERVAS INVÁLIDAS",IF(AND($F67&lt;&gt;"",IFERROR(OR(NOT(ISNUMBER($F67)),$F67&lt;0,MOD($F67,1)&lt;&gt;0),TRUE)),"ESTOQUE DE SEGURANÇA INVÁLIDO",IF(IFERROR(OR(NOT(ISNUMBER($G67)),$G67&gt;'Configurações'!$B$5),TRUE),"DATA INVÁLIDA",IF($E67&gt;$D67,"RESERVAS MAIORES QUE O SALDO","OK"))))))))))</f>
        <v/>
      </c>
    </row>
    <row r="68">
      <c r="A68" s="21" t="n"/>
      <c r="B68" s="21" t="n"/>
      <c r="C68" s="21" t="n"/>
      <c r="D68" s="22" t="n"/>
      <c r="E68" s="22" t="n"/>
      <c r="F68" s="22" t="n"/>
      <c r="G68" s="23" t="n"/>
      <c r="H68" s="24">
        <f>IF($A68="","",IFERROR(SUMIFS('Conciliação'!$G$6:$G$305,'Conciliação'!$B$6:$B$305,$A68,'Conciliação'!$S$6:$S$305,"OK"),0))</f>
        <v/>
      </c>
      <c r="I68" s="24">
        <f>IF($A68="","",IF(OR(NOT(ISNUMBER($D68)),NOT(ISNUMBER($E68)),AND($F68&lt;&gt;"",NOT(ISNUMBER($F68)))),"",MAX(0,$D68-$E68-$H68-IF($F68="",'Configurações'!$B$2,$F68))))</f>
        <v/>
      </c>
      <c r="J68" s="24">
        <f>IF($A68="","",IFERROR(SUMIFS('Conciliação'!$F$6:$F$305,'Conciliação'!$B$6:$B$305,$A68,'Conciliação'!$S$6:$S$305,"OK"),0))</f>
        <v/>
      </c>
      <c r="K68" s="24">
        <f>IF(OR($I68="",$J68=""),"",MAX(0,$J68-$I68))</f>
        <v/>
      </c>
      <c r="L68" s="25">
        <f>IF($A68="","",IF($C68="Inativo",IF($J68&gt;0,"INATIVO COM PUBLICAÇÃO","INATIVO"),IF($I68="","REVISAR DADOS",IF($K68&gt;0,"EXPOSIÇÃO ACIMA DO DISPONÍVEL",IF($I68=0,"SEM SALDO DISPONÍVEL",IF($G68="","SEM DATA",IF('Configurações'!$B$5-$G68&gt;'Configurações'!$B$4,"ATUALIZAÇÃO VENCIDA","OK")))))))</f>
        <v/>
      </c>
      <c r="M68" s="25">
        <f>IF(COUNTA($A68:$G68)=0,"",IF($A68="","SKU AUSENTE",IF(COUNTIF($A$6:$A$205,$A68)&gt;1,"SKU DUPLICADO",IF($B68="","PRODUTO AUSENTE",IF(AND($C68&lt;&gt;"Ativo",$C68&lt;&gt;"Inativo"),"STATUS INVÁLIDO",IF(IFERROR(OR(NOT(ISNUMBER($D68)),$D68&lt;0,MOD($D68,1)&lt;&gt;0),TRUE),"SALDO FÍSICO INVÁLIDO",IF(IFERROR(OR(NOT(ISNUMBER($E68)),$E68&lt;0,MOD($E68,1)&lt;&gt;0),TRUE),"RESERVAS INVÁLIDAS",IF(AND($F68&lt;&gt;"",IFERROR(OR(NOT(ISNUMBER($F68)),$F68&lt;0,MOD($F68,1)&lt;&gt;0),TRUE)),"ESTOQUE DE SEGURANÇA INVÁLIDO",IF(IFERROR(OR(NOT(ISNUMBER($G68)),$G68&gt;'Configurações'!$B$5),TRUE),"DATA INVÁLIDA",IF($E68&gt;$D68,"RESERVAS MAIORES QUE O SALDO","OK"))))))))))</f>
        <v/>
      </c>
    </row>
    <row r="69">
      <c r="A69" s="21" t="n"/>
      <c r="B69" s="21" t="n"/>
      <c r="C69" s="21" t="n"/>
      <c r="D69" s="22" t="n"/>
      <c r="E69" s="22" t="n"/>
      <c r="F69" s="22" t="n"/>
      <c r="G69" s="23" t="n"/>
      <c r="H69" s="24">
        <f>IF($A69="","",IFERROR(SUMIFS('Conciliação'!$G$6:$G$305,'Conciliação'!$B$6:$B$305,$A69,'Conciliação'!$S$6:$S$305,"OK"),0))</f>
        <v/>
      </c>
      <c r="I69" s="24">
        <f>IF($A69="","",IF(OR(NOT(ISNUMBER($D69)),NOT(ISNUMBER($E69)),AND($F69&lt;&gt;"",NOT(ISNUMBER($F69)))),"",MAX(0,$D69-$E69-$H69-IF($F69="",'Configurações'!$B$2,$F69))))</f>
        <v/>
      </c>
      <c r="J69" s="24">
        <f>IF($A69="","",IFERROR(SUMIFS('Conciliação'!$F$6:$F$305,'Conciliação'!$B$6:$B$305,$A69,'Conciliação'!$S$6:$S$305,"OK"),0))</f>
        <v/>
      </c>
      <c r="K69" s="24">
        <f>IF(OR($I69="",$J69=""),"",MAX(0,$J69-$I69))</f>
        <v/>
      </c>
      <c r="L69" s="25">
        <f>IF($A69="","",IF($C69="Inativo",IF($J69&gt;0,"INATIVO COM PUBLICAÇÃO","INATIVO"),IF($I69="","REVISAR DADOS",IF($K69&gt;0,"EXPOSIÇÃO ACIMA DO DISPONÍVEL",IF($I69=0,"SEM SALDO DISPONÍVEL",IF($G69="","SEM DATA",IF('Configurações'!$B$5-$G69&gt;'Configurações'!$B$4,"ATUALIZAÇÃO VENCIDA","OK")))))))</f>
        <v/>
      </c>
      <c r="M69" s="25">
        <f>IF(COUNTA($A69:$G69)=0,"",IF($A69="","SKU AUSENTE",IF(COUNTIF($A$6:$A$205,$A69)&gt;1,"SKU DUPLICADO",IF($B69="","PRODUTO AUSENTE",IF(AND($C69&lt;&gt;"Ativo",$C69&lt;&gt;"Inativo"),"STATUS INVÁLIDO",IF(IFERROR(OR(NOT(ISNUMBER($D69)),$D69&lt;0,MOD($D69,1)&lt;&gt;0),TRUE),"SALDO FÍSICO INVÁLIDO",IF(IFERROR(OR(NOT(ISNUMBER($E69)),$E69&lt;0,MOD($E69,1)&lt;&gt;0),TRUE),"RESERVAS INVÁLIDAS",IF(AND($F69&lt;&gt;"",IFERROR(OR(NOT(ISNUMBER($F69)),$F69&lt;0,MOD($F69,1)&lt;&gt;0),TRUE)),"ESTOQUE DE SEGURANÇA INVÁLIDO",IF(IFERROR(OR(NOT(ISNUMBER($G69)),$G69&gt;'Configurações'!$B$5),TRUE),"DATA INVÁLIDA",IF($E69&gt;$D69,"RESERVAS MAIORES QUE O SALDO","OK"))))))))))</f>
        <v/>
      </c>
    </row>
    <row r="70">
      <c r="A70" s="21" t="n"/>
      <c r="B70" s="21" t="n"/>
      <c r="C70" s="21" t="n"/>
      <c r="D70" s="22" t="n"/>
      <c r="E70" s="22" t="n"/>
      <c r="F70" s="22" t="n"/>
      <c r="G70" s="23" t="n"/>
      <c r="H70" s="24">
        <f>IF($A70="","",IFERROR(SUMIFS('Conciliação'!$G$6:$G$305,'Conciliação'!$B$6:$B$305,$A70,'Conciliação'!$S$6:$S$305,"OK"),0))</f>
        <v/>
      </c>
      <c r="I70" s="24">
        <f>IF($A70="","",IF(OR(NOT(ISNUMBER($D70)),NOT(ISNUMBER($E70)),AND($F70&lt;&gt;"",NOT(ISNUMBER($F70)))),"",MAX(0,$D70-$E70-$H70-IF($F70="",'Configurações'!$B$2,$F70))))</f>
        <v/>
      </c>
      <c r="J70" s="24">
        <f>IF($A70="","",IFERROR(SUMIFS('Conciliação'!$F$6:$F$305,'Conciliação'!$B$6:$B$305,$A70,'Conciliação'!$S$6:$S$305,"OK"),0))</f>
        <v/>
      </c>
      <c r="K70" s="24">
        <f>IF(OR($I70="",$J70=""),"",MAX(0,$J70-$I70))</f>
        <v/>
      </c>
      <c r="L70" s="25">
        <f>IF($A70="","",IF($C70="Inativo",IF($J70&gt;0,"INATIVO COM PUBLICAÇÃO","INATIVO"),IF($I70="","REVISAR DADOS",IF($K70&gt;0,"EXPOSIÇÃO ACIMA DO DISPONÍVEL",IF($I70=0,"SEM SALDO DISPONÍVEL",IF($G70="","SEM DATA",IF('Configurações'!$B$5-$G70&gt;'Configurações'!$B$4,"ATUALIZAÇÃO VENCIDA","OK")))))))</f>
        <v/>
      </c>
      <c r="M70" s="25">
        <f>IF(COUNTA($A70:$G70)=0,"",IF($A70="","SKU AUSENTE",IF(COUNTIF($A$6:$A$205,$A70)&gt;1,"SKU DUPLICADO",IF($B70="","PRODUTO AUSENTE",IF(AND($C70&lt;&gt;"Ativo",$C70&lt;&gt;"Inativo"),"STATUS INVÁLIDO",IF(IFERROR(OR(NOT(ISNUMBER($D70)),$D70&lt;0,MOD($D70,1)&lt;&gt;0),TRUE),"SALDO FÍSICO INVÁLIDO",IF(IFERROR(OR(NOT(ISNUMBER($E70)),$E70&lt;0,MOD($E70,1)&lt;&gt;0),TRUE),"RESERVAS INVÁLIDAS",IF(AND($F70&lt;&gt;"",IFERROR(OR(NOT(ISNUMBER($F70)),$F70&lt;0,MOD($F70,1)&lt;&gt;0),TRUE)),"ESTOQUE DE SEGURANÇA INVÁLIDO",IF(IFERROR(OR(NOT(ISNUMBER($G70)),$G70&gt;'Configurações'!$B$5),TRUE),"DATA INVÁLIDA",IF($E70&gt;$D70,"RESERVAS MAIORES QUE O SALDO","OK"))))))))))</f>
        <v/>
      </c>
    </row>
    <row r="71">
      <c r="A71" s="21" t="n"/>
      <c r="B71" s="21" t="n"/>
      <c r="C71" s="21" t="n"/>
      <c r="D71" s="22" t="n"/>
      <c r="E71" s="22" t="n"/>
      <c r="F71" s="22" t="n"/>
      <c r="G71" s="23" t="n"/>
      <c r="H71" s="24">
        <f>IF($A71="","",IFERROR(SUMIFS('Conciliação'!$G$6:$G$305,'Conciliação'!$B$6:$B$305,$A71,'Conciliação'!$S$6:$S$305,"OK"),0))</f>
        <v/>
      </c>
      <c r="I71" s="24">
        <f>IF($A71="","",IF(OR(NOT(ISNUMBER($D71)),NOT(ISNUMBER($E71)),AND($F71&lt;&gt;"",NOT(ISNUMBER($F71)))),"",MAX(0,$D71-$E71-$H71-IF($F71="",'Configurações'!$B$2,$F71))))</f>
        <v/>
      </c>
      <c r="J71" s="24">
        <f>IF($A71="","",IFERROR(SUMIFS('Conciliação'!$F$6:$F$305,'Conciliação'!$B$6:$B$305,$A71,'Conciliação'!$S$6:$S$305,"OK"),0))</f>
        <v/>
      </c>
      <c r="K71" s="24">
        <f>IF(OR($I71="",$J71=""),"",MAX(0,$J71-$I71))</f>
        <v/>
      </c>
      <c r="L71" s="25">
        <f>IF($A71="","",IF($C71="Inativo",IF($J71&gt;0,"INATIVO COM PUBLICAÇÃO","INATIVO"),IF($I71="","REVISAR DADOS",IF($K71&gt;0,"EXPOSIÇÃO ACIMA DO DISPONÍVEL",IF($I71=0,"SEM SALDO DISPONÍVEL",IF($G71="","SEM DATA",IF('Configurações'!$B$5-$G71&gt;'Configurações'!$B$4,"ATUALIZAÇÃO VENCIDA","OK")))))))</f>
        <v/>
      </c>
      <c r="M71" s="25">
        <f>IF(COUNTA($A71:$G71)=0,"",IF($A71="","SKU AUSENTE",IF(COUNTIF($A$6:$A$205,$A71)&gt;1,"SKU DUPLICADO",IF($B71="","PRODUTO AUSENTE",IF(AND($C71&lt;&gt;"Ativo",$C71&lt;&gt;"Inativo"),"STATUS INVÁLIDO",IF(IFERROR(OR(NOT(ISNUMBER($D71)),$D71&lt;0,MOD($D71,1)&lt;&gt;0),TRUE),"SALDO FÍSICO INVÁLIDO",IF(IFERROR(OR(NOT(ISNUMBER($E71)),$E71&lt;0,MOD($E71,1)&lt;&gt;0),TRUE),"RESERVAS INVÁLIDAS",IF(AND($F71&lt;&gt;"",IFERROR(OR(NOT(ISNUMBER($F71)),$F71&lt;0,MOD($F71,1)&lt;&gt;0),TRUE)),"ESTOQUE DE SEGURANÇA INVÁLIDO",IF(IFERROR(OR(NOT(ISNUMBER($G71)),$G71&gt;'Configurações'!$B$5),TRUE),"DATA INVÁLIDA",IF($E71&gt;$D71,"RESERVAS MAIORES QUE O SALDO","OK"))))))))))</f>
        <v/>
      </c>
    </row>
    <row r="72">
      <c r="A72" s="21" t="n"/>
      <c r="B72" s="21" t="n"/>
      <c r="C72" s="21" t="n"/>
      <c r="D72" s="22" t="n"/>
      <c r="E72" s="22" t="n"/>
      <c r="F72" s="22" t="n"/>
      <c r="G72" s="23" t="n"/>
      <c r="H72" s="24">
        <f>IF($A72="","",IFERROR(SUMIFS('Conciliação'!$G$6:$G$305,'Conciliação'!$B$6:$B$305,$A72,'Conciliação'!$S$6:$S$305,"OK"),0))</f>
        <v/>
      </c>
      <c r="I72" s="24">
        <f>IF($A72="","",IF(OR(NOT(ISNUMBER($D72)),NOT(ISNUMBER($E72)),AND($F72&lt;&gt;"",NOT(ISNUMBER($F72)))),"",MAX(0,$D72-$E72-$H72-IF($F72="",'Configurações'!$B$2,$F72))))</f>
        <v/>
      </c>
      <c r="J72" s="24">
        <f>IF($A72="","",IFERROR(SUMIFS('Conciliação'!$F$6:$F$305,'Conciliação'!$B$6:$B$305,$A72,'Conciliação'!$S$6:$S$305,"OK"),0))</f>
        <v/>
      </c>
      <c r="K72" s="24">
        <f>IF(OR($I72="",$J72=""),"",MAX(0,$J72-$I72))</f>
        <v/>
      </c>
      <c r="L72" s="25">
        <f>IF($A72="","",IF($C72="Inativo",IF($J72&gt;0,"INATIVO COM PUBLICAÇÃO","INATIVO"),IF($I72="","REVISAR DADOS",IF($K72&gt;0,"EXPOSIÇÃO ACIMA DO DISPONÍVEL",IF($I72=0,"SEM SALDO DISPONÍVEL",IF($G72="","SEM DATA",IF('Configurações'!$B$5-$G72&gt;'Configurações'!$B$4,"ATUALIZAÇÃO VENCIDA","OK")))))))</f>
        <v/>
      </c>
      <c r="M72" s="25">
        <f>IF(COUNTA($A72:$G72)=0,"",IF($A72="","SKU AUSENTE",IF(COUNTIF($A$6:$A$205,$A72)&gt;1,"SKU DUPLICADO",IF($B72="","PRODUTO AUSENTE",IF(AND($C72&lt;&gt;"Ativo",$C72&lt;&gt;"Inativo"),"STATUS INVÁLIDO",IF(IFERROR(OR(NOT(ISNUMBER($D72)),$D72&lt;0,MOD($D72,1)&lt;&gt;0),TRUE),"SALDO FÍSICO INVÁLIDO",IF(IFERROR(OR(NOT(ISNUMBER($E72)),$E72&lt;0,MOD($E72,1)&lt;&gt;0),TRUE),"RESERVAS INVÁLIDAS",IF(AND($F72&lt;&gt;"",IFERROR(OR(NOT(ISNUMBER($F72)),$F72&lt;0,MOD($F72,1)&lt;&gt;0),TRUE)),"ESTOQUE DE SEGURANÇA INVÁLIDO",IF(IFERROR(OR(NOT(ISNUMBER($G72)),$G72&gt;'Configurações'!$B$5),TRUE),"DATA INVÁLIDA",IF($E72&gt;$D72,"RESERVAS MAIORES QUE O SALDO","OK"))))))))))</f>
        <v/>
      </c>
    </row>
    <row r="73">
      <c r="A73" s="21" t="n"/>
      <c r="B73" s="21" t="n"/>
      <c r="C73" s="21" t="n"/>
      <c r="D73" s="22" t="n"/>
      <c r="E73" s="22" t="n"/>
      <c r="F73" s="22" t="n"/>
      <c r="G73" s="23" t="n"/>
      <c r="H73" s="24">
        <f>IF($A73="","",IFERROR(SUMIFS('Conciliação'!$G$6:$G$305,'Conciliação'!$B$6:$B$305,$A73,'Conciliação'!$S$6:$S$305,"OK"),0))</f>
        <v/>
      </c>
      <c r="I73" s="24">
        <f>IF($A73="","",IF(OR(NOT(ISNUMBER($D73)),NOT(ISNUMBER($E73)),AND($F73&lt;&gt;"",NOT(ISNUMBER($F73)))),"",MAX(0,$D73-$E73-$H73-IF($F73="",'Configurações'!$B$2,$F73))))</f>
        <v/>
      </c>
      <c r="J73" s="24">
        <f>IF($A73="","",IFERROR(SUMIFS('Conciliação'!$F$6:$F$305,'Conciliação'!$B$6:$B$305,$A73,'Conciliação'!$S$6:$S$305,"OK"),0))</f>
        <v/>
      </c>
      <c r="K73" s="24">
        <f>IF(OR($I73="",$J73=""),"",MAX(0,$J73-$I73))</f>
        <v/>
      </c>
      <c r="L73" s="25">
        <f>IF($A73="","",IF($C73="Inativo",IF($J73&gt;0,"INATIVO COM PUBLICAÇÃO","INATIVO"),IF($I73="","REVISAR DADOS",IF($K73&gt;0,"EXPOSIÇÃO ACIMA DO DISPONÍVEL",IF($I73=0,"SEM SALDO DISPONÍVEL",IF($G73="","SEM DATA",IF('Configurações'!$B$5-$G73&gt;'Configurações'!$B$4,"ATUALIZAÇÃO VENCIDA","OK")))))))</f>
        <v/>
      </c>
      <c r="M73" s="25">
        <f>IF(COUNTA($A73:$G73)=0,"",IF($A73="","SKU AUSENTE",IF(COUNTIF($A$6:$A$205,$A73)&gt;1,"SKU DUPLICADO",IF($B73="","PRODUTO AUSENTE",IF(AND($C73&lt;&gt;"Ativo",$C73&lt;&gt;"Inativo"),"STATUS INVÁLIDO",IF(IFERROR(OR(NOT(ISNUMBER($D73)),$D73&lt;0,MOD($D73,1)&lt;&gt;0),TRUE),"SALDO FÍSICO INVÁLIDO",IF(IFERROR(OR(NOT(ISNUMBER($E73)),$E73&lt;0,MOD($E73,1)&lt;&gt;0),TRUE),"RESERVAS INVÁLIDAS",IF(AND($F73&lt;&gt;"",IFERROR(OR(NOT(ISNUMBER($F73)),$F73&lt;0,MOD($F73,1)&lt;&gt;0),TRUE)),"ESTOQUE DE SEGURANÇA INVÁLIDO",IF(IFERROR(OR(NOT(ISNUMBER($G73)),$G73&gt;'Configurações'!$B$5),TRUE),"DATA INVÁLIDA",IF($E73&gt;$D73,"RESERVAS MAIORES QUE O SALDO","OK"))))))))))</f>
        <v/>
      </c>
    </row>
    <row r="74">
      <c r="A74" s="21" t="n"/>
      <c r="B74" s="21" t="n"/>
      <c r="C74" s="21" t="n"/>
      <c r="D74" s="22" t="n"/>
      <c r="E74" s="22" t="n"/>
      <c r="F74" s="22" t="n"/>
      <c r="G74" s="23" t="n"/>
      <c r="H74" s="24">
        <f>IF($A74="","",IFERROR(SUMIFS('Conciliação'!$G$6:$G$305,'Conciliação'!$B$6:$B$305,$A74,'Conciliação'!$S$6:$S$305,"OK"),0))</f>
        <v/>
      </c>
      <c r="I74" s="24">
        <f>IF($A74="","",IF(OR(NOT(ISNUMBER($D74)),NOT(ISNUMBER($E74)),AND($F74&lt;&gt;"",NOT(ISNUMBER($F74)))),"",MAX(0,$D74-$E74-$H74-IF($F74="",'Configurações'!$B$2,$F74))))</f>
        <v/>
      </c>
      <c r="J74" s="24">
        <f>IF($A74="","",IFERROR(SUMIFS('Conciliação'!$F$6:$F$305,'Conciliação'!$B$6:$B$305,$A74,'Conciliação'!$S$6:$S$305,"OK"),0))</f>
        <v/>
      </c>
      <c r="K74" s="24">
        <f>IF(OR($I74="",$J74=""),"",MAX(0,$J74-$I74))</f>
        <v/>
      </c>
      <c r="L74" s="25">
        <f>IF($A74="","",IF($C74="Inativo",IF($J74&gt;0,"INATIVO COM PUBLICAÇÃO","INATIVO"),IF($I74="","REVISAR DADOS",IF($K74&gt;0,"EXPOSIÇÃO ACIMA DO DISPONÍVEL",IF($I74=0,"SEM SALDO DISPONÍVEL",IF($G74="","SEM DATA",IF('Configurações'!$B$5-$G74&gt;'Configurações'!$B$4,"ATUALIZAÇÃO VENCIDA","OK")))))))</f>
        <v/>
      </c>
      <c r="M74" s="25">
        <f>IF(COUNTA($A74:$G74)=0,"",IF($A74="","SKU AUSENTE",IF(COUNTIF($A$6:$A$205,$A74)&gt;1,"SKU DUPLICADO",IF($B74="","PRODUTO AUSENTE",IF(AND($C74&lt;&gt;"Ativo",$C74&lt;&gt;"Inativo"),"STATUS INVÁLIDO",IF(IFERROR(OR(NOT(ISNUMBER($D74)),$D74&lt;0,MOD($D74,1)&lt;&gt;0),TRUE),"SALDO FÍSICO INVÁLIDO",IF(IFERROR(OR(NOT(ISNUMBER($E74)),$E74&lt;0,MOD($E74,1)&lt;&gt;0),TRUE),"RESERVAS INVÁLIDAS",IF(AND($F74&lt;&gt;"",IFERROR(OR(NOT(ISNUMBER($F74)),$F74&lt;0,MOD($F74,1)&lt;&gt;0),TRUE)),"ESTOQUE DE SEGURANÇA INVÁLIDO",IF(IFERROR(OR(NOT(ISNUMBER($G74)),$G74&gt;'Configurações'!$B$5),TRUE),"DATA INVÁLIDA",IF($E74&gt;$D74,"RESERVAS MAIORES QUE O SALDO","OK"))))))))))</f>
        <v/>
      </c>
    </row>
    <row r="75">
      <c r="A75" s="21" t="n"/>
      <c r="B75" s="21" t="n"/>
      <c r="C75" s="21" t="n"/>
      <c r="D75" s="22" t="n"/>
      <c r="E75" s="22" t="n"/>
      <c r="F75" s="22" t="n"/>
      <c r="G75" s="23" t="n"/>
      <c r="H75" s="24">
        <f>IF($A75="","",IFERROR(SUMIFS('Conciliação'!$G$6:$G$305,'Conciliação'!$B$6:$B$305,$A75,'Conciliação'!$S$6:$S$305,"OK"),0))</f>
        <v/>
      </c>
      <c r="I75" s="24">
        <f>IF($A75="","",IF(OR(NOT(ISNUMBER($D75)),NOT(ISNUMBER($E75)),AND($F75&lt;&gt;"",NOT(ISNUMBER($F75)))),"",MAX(0,$D75-$E75-$H75-IF($F75="",'Configurações'!$B$2,$F75))))</f>
        <v/>
      </c>
      <c r="J75" s="24">
        <f>IF($A75="","",IFERROR(SUMIFS('Conciliação'!$F$6:$F$305,'Conciliação'!$B$6:$B$305,$A75,'Conciliação'!$S$6:$S$305,"OK"),0))</f>
        <v/>
      </c>
      <c r="K75" s="24">
        <f>IF(OR($I75="",$J75=""),"",MAX(0,$J75-$I75))</f>
        <v/>
      </c>
      <c r="L75" s="25">
        <f>IF($A75="","",IF($C75="Inativo",IF($J75&gt;0,"INATIVO COM PUBLICAÇÃO","INATIVO"),IF($I75="","REVISAR DADOS",IF($K75&gt;0,"EXPOSIÇÃO ACIMA DO DISPONÍVEL",IF($I75=0,"SEM SALDO DISPONÍVEL",IF($G75="","SEM DATA",IF('Configurações'!$B$5-$G75&gt;'Configurações'!$B$4,"ATUALIZAÇÃO VENCIDA","OK")))))))</f>
        <v/>
      </c>
      <c r="M75" s="25">
        <f>IF(COUNTA($A75:$G75)=0,"",IF($A75="","SKU AUSENTE",IF(COUNTIF($A$6:$A$205,$A75)&gt;1,"SKU DUPLICADO",IF($B75="","PRODUTO AUSENTE",IF(AND($C75&lt;&gt;"Ativo",$C75&lt;&gt;"Inativo"),"STATUS INVÁLIDO",IF(IFERROR(OR(NOT(ISNUMBER($D75)),$D75&lt;0,MOD($D75,1)&lt;&gt;0),TRUE),"SALDO FÍSICO INVÁLIDO",IF(IFERROR(OR(NOT(ISNUMBER($E75)),$E75&lt;0,MOD($E75,1)&lt;&gt;0),TRUE),"RESERVAS INVÁLIDAS",IF(AND($F75&lt;&gt;"",IFERROR(OR(NOT(ISNUMBER($F75)),$F75&lt;0,MOD($F75,1)&lt;&gt;0),TRUE)),"ESTOQUE DE SEGURANÇA INVÁLIDO",IF(IFERROR(OR(NOT(ISNUMBER($G75)),$G75&gt;'Configurações'!$B$5),TRUE),"DATA INVÁLIDA",IF($E75&gt;$D75,"RESERVAS MAIORES QUE O SALDO","OK"))))))))))</f>
        <v/>
      </c>
    </row>
    <row r="76">
      <c r="A76" s="21" t="n"/>
      <c r="B76" s="21" t="n"/>
      <c r="C76" s="21" t="n"/>
      <c r="D76" s="22" t="n"/>
      <c r="E76" s="22" t="n"/>
      <c r="F76" s="22" t="n"/>
      <c r="G76" s="23" t="n"/>
      <c r="H76" s="24">
        <f>IF($A76="","",IFERROR(SUMIFS('Conciliação'!$G$6:$G$305,'Conciliação'!$B$6:$B$305,$A76,'Conciliação'!$S$6:$S$305,"OK"),0))</f>
        <v/>
      </c>
      <c r="I76" s="24">
        <f>IF($A76="","",IF(OR(NOT(ISNUMBER($D76)),NOT(ISNUMBER($E76)),AND($F76&lt;&gt;"",NOT(ISNUMBER($F76)))),"",MAX(0,$D76-$E76-$H76-IF($F76="",'Configurações'!$B$2,$F76))))</f>
        <v/>
      </c>
      <c r="J76" s="24">
        <f>IF($A76="","",IFERROR(SUMIFS('Conciliação'!$F$6:$F$305,'Conciliação'!$B$6:$B$305,$A76,'Conciliação'!$S$6:$S$305,"OK"),0))</f>
        <v/>
      </c>
      <c r="K76" s="24">
        <f>IF(OR($I76="",$J76=""),"",MAX(0,$J76-$I76))</f>
        <v/>
      </c>
      <c r="L76" s="25">
        <f>IF($A76="","",IF($C76="Inativo",IF($J76&gt;0,"INATIVO COM PUBLICAÇÃO","INATIVO"),IF($I76="","REVISAR DADOS",IF($K76&gt;0,"EXPOSIÇÃO ACIMA DO DISPONÍVEL",IF($I76=0,"SEM SALDO DISPONÍVEL",IF($G76="","SEM DATA",IF('Configurações'!$B$5-$G76&gt;'Configurações'!$B$4,"ATUALIZAÇÃO VENCIDA","OK")))))))</f>
        <v/>
      </c>
      <c r="M76" s="25">
        <f>IF(COUNTA($A76:$G76)=0,"",IF($A76="","SKU AUSENTE",IF(COUNTIF($A$6:$A$205,$A76)&gt;1,"SKU DUPLICADO",IF($B76="","PRODUTO AUSENTE",IF(AND($C76&lt;&gt;"Ativo",$C76&lt;&gt;"Inativo"),"STATUS INVÁLIDO",IF(IFERROR(OR(NOT(ISNUMBER($D76)),$D76&lt;0,MOD($D76,1)&lt;&gt;0),TRUE),"SALDO FÍSICO INVÁLIDO",IF(IFERROR(OR(NOT(ISNUMBER($E76)),$E76&lt;0,MOD($E76,1)&lt;&gt;0),TRUE),"RESERVAS INVÁLIDAS",IF(AND($F76&lt;&gt;"",IFERROR(OR(NOT(ISNUMBER($F76)),$F76&lt;0,MOD($F76,1)&lt;&gt;0),TRUE)),"ESTOQUE DE SEGURANÇA INVÁLIDO",IF(IFERROR(OR(NOT(ISNUMBER($G76)),$G76&gt;'Configurações'!$B$5),TRUE),"DATA INVÁLIDA",IF($E76&gt;$D76,"RESERVAS MAIORES QUE O SALDO","OK"))))))))))</f>
        <v/>
      </c>
    </row>
    <row r="77">
      <c r="A77" s="21" t="n"/>
      <c r="B77" s="21" t="n"/>
      <c r="C77" s="21" t="n"/>
      <c r="D77" s="22" t="n"/>
      <c r="E77" s="22" t="n"/>
      <c r="F77" s="22" t="n"/>
      <c r="G77" s="23" t="n"/>
      <c r="H77" s="24">
        <f>IF($A77="","",IFERROR(SUMIFS('Conciliação'!$G$6:$G$305,'Conciliação'!$B$6:$B$305,$A77,'Conciliação'!$S$6:$S$305,"OK"),0))</f>
        <v/>
      </c>
      <c r="I77" s="24">
        <f>IF($A77="","",IF(OR(NOT(ISNUMBER($D77)),NOT(ISNUMBER($E77)),AND($F77&lt;&gt;"",NOT(ISNUMBER($F77)))),"",MAX(0,$D77-$E77-$H77-IF($F77="",'Configurações'!$B$2,$F77))))</f>
        <v/>
      </c>
      <c r="J77" s="24">
        <f>IF($A77="","",IFERROR(SUMIFS('Conciliação'!$F$6:$F$305,'Conciliação'!$B$6:$B$305,$A77,'Conciliação'!$S$6:$S$305,"OK"),0))</f>
        <v/>
      </c>
      <c r="K77" s="24">
        <f>IF(OR($I77="",$J77=""),"",MAX(0,$J77-$I77))</f>
        <v/>
      </c>
      <c r="L77" s="25">
        <f>IF($A77="","",IF($C77="Inativo",IF($J77&gt;0,"INATIVO COM PUBLICAÇÃO","INATIVO"),IF($I77="","REVISAR DADOS",IF($K77&gt;0,"EXPOSIÇÃO ACIMA DO DISPONÍVEL",IF($I77=0,"SEM SALDO DISPONÍVEL",IF($G77="","SEM DATA",IF('Configurações'!$B$5-$G77&gt;'Configurações'!$B$4,"ATUALIZAÇÃO VENCIDA","OK")))))))</f>
        <v/>
      </c>
      <c r="M77" s="25">
        <f>IF(COUNTA($A77:$G77)=0,"",IF($A77="","SKU AUSENTE",IF(COUNTIF($A$6:$A$205,$A77)&gt;1,"SKU DUPLICADO",IF($B77="","PRODUTO AUSENTE",IF(AND($C77&lt;&gt;"Ativo",$C77&lt;&gt;"Inativo"),"STATUS INVÁLIDO",IF(IFERROR(OR(NOT(ISNUMBER($D77)),$D77&lt;0,MOD($D77,1)&lt;&gt;0),TRUE),"SALDO FÍSICO INVÁLIDO",IF(IFERROR(OR(NOT(ISNUMBER($E77)),$E77&lt;0,MOD($E77,1)&lt;&gt;0),TRUE),"RESERVAS INVÁLIDAS",IF(AND($F77&lt;&gt;"",IFERROR(OR(NOT(ISNUMBER($F77)),$F77&lt;0,MOD($F77,1)&lt;&gt;0),TRUE)),"ESTOQUE DE SEGURANÇA INVÁLIDO",IF(IFERROR(OR(NOT(ISNUMBER($G77)),$G77&gt;'Configurações'!$B$5),TRUE),"DATA INVÁLIDA",IF($E77&gt;$D77,"RESERVAS MAIORES QUE O SALDO","OK"))))))))))</f>
        <v/>
      </c>
    </row>
    <row r="78">
      <c r="A78" s="21" t="n"/>
      <c r="B78" s="21" t="n"/>
      <c r="C78" s="21" t="n"/>
      <c r="D78" s="22" t="n"/>
      <c r="E78" s="22" t="n"/>
      <c r="F78" s="22" t="n"/>
      <c r="G78" s="23" t="n"/>
      <c r="H78" s="24">
        <f>IF($A78="","",IFERROR(SUMIFS('Conciliação'!$G$6:$G$305,'Conciliação'!$B$6:$B$305,$A78,'Conciliação'!$S$6:$S$305,"OK"),0))</f>
        <v/>
      </c>
      <c r="I78" s="24">
        <f>IF($A78="","",IF(OR(NOT(ISNUMBER($D78)),NOT(ISNUMBER($E78)),AND($F78&lt;&gt;"",NOT(ISNUMBER($F78)))),"",MAX(0,$D78-$E78-$H78-IF($F78="",'Configurações'!$B$2,$F78))))</f>
        <v/>
      </c>
      <c r="J78" s="24">
        <f>IF($A78="","",IFERROR(SUMIFS('Conciliação'!$F$6:$F$305,'Conciliação'!$B$6:$B$305,$A78,'Conciliação'!$S$6:$S$305,"OK"),0))</f>
        <v/>
      </c>
      <c r="K78" s="24">
        <f>IF(OR($I78="",$J78=""),"",MAX(0,$J78-$I78))</f>
        <v/>
      </c>
      <c r="L78" s="25">
        <f>IF($A78="","",IF($C78="Inativo",IF($J78&gt;0,"INATIVO COM PUBLICAÇÃO","INATIVO"),IF($I78="","REVISAR DADOS",IF($K78&gt;0,"EXPOSIÇÃO ACIMA DO DISPONÍVEL",IF($I78=0,"SEM SALDO DISPONÍVEL",IF($G78="","SEM DATA",IF('Configurações'!$B$5-$G78&gt;'Configurações'!$B$4,"ATUALIZAÇÃO VENCIDA","OK")))))))</f>
        <v/>
      </c>
      <c r="M78" s="25">
        <f>IF(COUNTA($A78:$G78)=0,"",IF($A78="","SKU AUSENTE",IF(COUNTIF($A$6:$A$205,$A78)&gt;1,"SKU DUPLICADO",IF($B78="","PRODUTO AUSENTE",IF(AND($C78&lt;&gt;"Ativo",$C78&lt;&gt;"Inativo"),"STATUS INVÁLIDO",IF(IFERROR(OR(NOT(ISNUMBER($D78)),$D78&lt;0,MOD($D78,1)&lt;&gt;0),TRUE),"SALDO FÍSICO INVÁLIDO",IF(IFERROR(OR(NOT(ISNUMBER($E78)),$E78&lt;0,MOD($E78,1)&lt;&gt;0),TRUE),"RESERVAS INVÁLIDAS",IF(AND($F78&lt;&gt;"",IFERROR(OR(NOT(ISNUMBER($F78)),$F78&lt;0,MOD($F78,1)&lt;&gt;0),TRUE)),"ESTOQUE DE SEGURANÇA INVÁLIDO",IF(IFERROR(OR(NOT(ISNUMBER($G78)),$G78&gt;'Configurações'!$B$5),TRUE),"DATA INVÁLIDA",IF($E78&gt;$D78,"RESERVAS MAIORES QUE O SALDO","OK"))))))))))</f>
        <v/>
      </c>
    </row>
    <row r="79">
      <c r="A79" s="21" t="n"/>
      <c r="B79" s="21" t="n"/>
      <c r="C79" s="21" t="n"/>
      <c r="D79" s="22" t="n"/>
      <c r="E79" s="22" t="n"/>
      <c r="F79" s="22" t="n"/>
      <c r="G79" s="23" t="n"/>
      <c r="H79" s="24">
        <f>IF($A79="","",IFERROR(SUMIFS('Conciliação'!$G$6:$G$305,'Conciliação'!$B$6:$B$305,$A79,'Conciliação'!$S$6:$S$305,"OK"),0))</f>
        <v/>
      </c>
      <c r="I79" s="24">
        <f>IF($A79="","",IF(OR(NOT(ISNUMBER($D79)),NOT(ISNUMBER($E79)),AND($F79&lt;&gt;"",NOT(ISNUMBER($F79)))),"",MAX(0,$D79-$E79-$H79-IF($F79="",'Configurações'!$B$2,$F79))))</f>
        <v/>
      </c>
      <c r="J79" s="24">
        <f>IF($A79="","",IFERROR(SUMIFS('Conciliação'!$F$6:$F$305,'Conciliação'!$B$6:$B$305,$A79,'Conciliação'!$S$6:$S$305,"OK"),0))</f>
        <v/>
      </c>
      <c r="K79" s="24">
        <f>IF(OR($I79="",$J79=""),"",MAX(0,$J79-$I79))</f>
        <v/>
      </c>
      <c r="L79" s="25">
        <f>IF($A79="","",IF($C79="Inativo",IF($J79&gt;0,"INATIVO COM PUBLICAÇÃO","INATIVO"),IF($I79="","REVISAR DADOS",IF($K79&gt;0,"EXPOSIÇÃO ACIMA DO DISPONÍVEL",IF($I79=0,"SEM SALDO DISPONÍVEL",IF($G79="","SEM DATA",IF('Configurações'!$B$5-$G79&gt;'Configurações'!$B$4,"ATUALIZAÇÃO VENCIDA","OK")))))))</f>
        <v/>
      </c>
      <c r="M79" s="25">
        <f>IF(COUNTA($A79:$G79)=0,"",IF($A79="","SKU AUSENTE",IF(COUNTIF($A$6:$A$205,$A79)&gt;1,"SKU DUPLICADO",IF($B79="","PRODUTO AUSENTE",IF(AND($C79&lt;&gt;"Ativo",$C79&lt;&gt;"Inativo"),"STATUS INVÁLIDO",IF(IFERROR(OR(NOT(ISNUMBER($D79)),$D79&lt;0,MOD($D79,1)&lt;&gt;0),TRUE),"SALDO FÍSICO INVÁLIDO",IF(IFERROR(OR(NOT(ISNUMBER($E79)),$E79&lt;0,MOD($E79,1)&lt;&gt;0),TRUE),"RESERVAS INVÁLIDAS",IF(AND($F79&lt;&gt;"",IFERROR(OR(NOT(ISNUMBER($F79)),$F79&lt;0,MOD($F79,1)&lt;&gt;0),TRUE)),"ESTOQUE DE SEGURANÇA INVÁLIDO",IF(IFERROR(OR(NOT(ISNUMBER($G79)),$G79&gt;'Configurações'!$B$5),TRUE),"DATA INVÁLIDA",IF($E79&gt;$D79,"RESERVAS MAIORES QUE O SALDO","OK"))))))))))</f>
        <v/>
      </c>
    </row>
    <row r="80">
      <c r="A80" s="21" t="n"/>
      <c r="B80" s="21" t="n"/>
      <c r="C80" s="21" t="n"/>
      <c r="D80" s="22" t="n"/>
      <c r="E80" s="22" t="n"/>
      <c r="F80" s="22" t="n"/>
      <c r="G80" s="23" t="n"/>
      <c r="H80" s="24">
        <f>IF($A80="","",IFERROR(SUMIFS('Conciliação'!$G$6:$G$305,'Conciliação'!$B$6:$B$305,$A80,'Conciliação'!$S$6:$S$305,"OK"),0))</f>
        <v/>
      </c>
      <c r="I80" s="24">
        <f>IF($A80="","",IF(OR(NOT(ISNUMBER($D80)),NOT(ISNUMBER($E80)),AND($F80&lt;&gt;"",NOT(ISNUMBER($F80)))),"",MAX(0,$D80-$E80-$H80-IF($F80="",'Configurações'!$B$2,$F80))))</f>
        <v/>
      </c>
      <c r="J80" s="24">
        <f>IF($A80="","",IFERROR(SUMIFS('Conciliação'!$F$6:$F$305,'Conciliação'!$B$6:$B$305,$A80,'Conciliação'!$S$6:$S$305,"OK"),0))</f>
        <v/>
      </c>
      <c r="K80" s="24">
        <f>IF(OR($I80="",$J80=""),"",MAX(0,$J80-$I80))</f>
        <v/>
      </c>
      <c r="L80" s="25">
        <f>IF($A80="","",IF($C80="Inativo",IF($J80&gt;0,"INATIVO COM PUBLICAÇÃO","INATIVO"),IF($I80="","REVISAR DADOS",IF($K80&gt;0,"EXPOSIÇÃO ACIMA DO DISPONÍVEL",IF($I80=0,"SEM SALDO DISPONÍVEL",IF($G80="","SEM DATA",IF('Configurações'!$B$5-$G80&gt;'Configurações'!$B$4,"ATUALIZAÇÃO VENCIDA","OK")))))))</f>
        <v/>
      </c>
      <c r="M80" s="25">
        <f>IF(COUNTA($A80:$G80)=0,"",IF($A80="","SKU AUSENTE",IF(COUNTIF($A$6:$A$205,$A80)&gt;1,"SKU DUPLICADO",IF($B80="","PRODUTO AUSENTE",IF(AND($C80&lt;&gt;"Ativo",$C80&lt;&gt;"Inativo"),"STATUS INVÁLIDO",IF(IFERROR(OR(NOT(ISNUMBER($D80)),$D80&lt;0,MOD($D80,1)&lt;&gt;0),TRUE),"SALDO FÍSICO INVÁLIDO",IF(IFERROR(OR(NOT(ISNUMBER($E80)),$E80&lt;0,MOD($E80,1)&lt;&gt;0),TRUE),"RESERVAS INVÁLIDAS",IF(AND($F80&lt;&gt;"",IFERROR(OR(NOT(ISNUMBER($F80)),$F80&lt;0,MOD($F80,1)&lt;&gt;0),TRUE)),"ESTOQUE DE SEGURANÇA INVÁLIDO",IF(IFERROR(OR(NOT(ISNUMBER($G80)),$G80&gt;'Configurações'!$B$5),TRUE),"DATA INVÁLIDA",IF($E80&gt;$D80,"RESERVAS MAIORES QUE O SALDO","OK"))))))))))</f>
        <v/>
      </c>
    </row>
    <row r="81">
      <c r="A81" s="21" t="n"/>
      <c r="B81" s="21" t="n"/>
      <c r="C81" s="21" t="n"/>
      <c r="D81" s="22" t="n"/>
      <c r="E81" s="22" t="n"/>
      <c r="F81" s="22" t="n"/>
      <c r="G81" s="23" t="n"/>
      <c r="H81" s="24">
        <f>IF($A81="","",IFERROR(SUMIFS('Conciliação'!$G$6:$G$305,'Conciliação'!$B$6:$B$305,$A81,'Conciliação'!$S$6:$S$305,"OK"),0))</f>
        <v/>
      </c>
      <c r="I81" s="24">
        <f>IF($A81="","",IF(OR(NOT(ISNUMBER($D81)),NOT(ISNUMBER($E81)),AND($F81&lt;&gt;"",NOT(ISNUMBER($F81)))),"",MAX(0,$D81-$E81-$H81-IF($F81="",'Configurações'!$B$2,$F81))))</f>
        <v/>
      </c>
      <c r="J81" s="24">
        <f>IF($A81="","",IFERROR(SUMIFS('Conciliação'!$F$6:$F$305,'Conciliação'!$B$6:$B$305,$A81,'Conciliação'!$S$6:$S$305,"OK"),0))</f>
        <v/>
      </c>
      <c r="K81" s="24">
        <f>IF(OR($I81="",$J81=""),"",MAX(0,$J81-$I81))</f>
        <v/>
      </c>
      <c r="L81" s="25">
        <f>IF($A81="","",IF($C81="Inativo",IF($J81&gt;0,"INATIVO COM PUBLICAÇÃO","INATIVO"),IF($I81="","REVISAR DADOS",IF($K81&gt;0,"EXPOSIÇÃO ACIMA DO DISPONÍVEL",IF($I81=0,"SEM SALDO DISPONÍVEL",IF($G81="","SEM DATA",IF('Configurações'!$B$5-$G81&gt;'Configurações'!$B$4,"ATUALIZAÇÃO VENCIDA","OK")))))))</f>
        <v/>
      </c>
      <c r="M81" s="25">
        <f>IF(COUNTA($A81:$G81)=0,"",IF($A81="","SKU AUSENTE",IF(COUNTIF($A$6:$A$205,$A81)&gt;1,"SKU DUPLICADO",IF($B81="","PRODUTO AUSENTE",IF(AND($C81&lt;&gt;"Ativo",$C81&lt;&gt;"Inativo"),"STATUS INVÁLIDO",IF(IFERROR(OR(NOT(ISNUMBER($D81)),$D81&lt;0,MOD($D81,1)&lt;&gt;0),TRUE),"SALDO FÍSICO INVÁLIDO",IF(IFERROR(OR(NOT(ISNUMBER($E81)),$E81&lt;0,MOD($E81,1)&lt;&gt;0),TRUE),"RESERVAS INVÁLIDAS",IF(AND($F81&lt;&gt;"",IFERROR(OR(NOT(ISNUMBER($F81)),$F81&lt;0,MOD($F81,1)&lt;&gt;0),TRUE)),"ESTOQUE DE SEGURANÇA INVÁLIDO",IF(IFERROR(OR(NOT(ISNUMBER($G81)),$G81&gt;'Configurações'!$B$5),TRUE),"DATA INVÁLIDA",IF($E81&gt;$D81,"RESERVAS MAIORES QUE O SALDO","OK"))))))))))</f>
        <v/>
      </c>
    </row>
    <row r="82">
      <c r="A82" s="21" t="n"/>
      <c r="B82" s="21" t="n"/>
      <c r="C82" s="21" t="n"/>
      <c r="D82" s="22" t="n"/>
      <c r="E82" s="22" t="n"/>
      <c r="F82" s="22" t="n"/>
      <c r="G82" s="23" t="n"/>
      <c r="H82" s="24">
        <f>IF($A82="","",IFERROR(SUMIFS('Conciliação'!$G$6:$G$305,'Conciliação'!$B$6:$B$305,$A82,'Conciliação'!$S$6:$S$305,"OK"),0))</f>
        <v/>
      </c>
      <c r="I82" s="24">
        <f>IF($A82="","",IF(OR(NOT(ISNUMBER($D82)),NOT(ISNUMBER($E82)),AND($F82&lt;&gt;"",NOT(ISNUMBER($F82)))),"",MAX(0,$D82-$E82-$H82-IF($F82="",'Configurações'!$B$2,$F82))))</f>
        <v/>
      </c>
      <c r="J82" s="24">
        <f>IF($A82="","",IFERROR(SUMIFS('Conciliação'!$F$6:$F$305,'Conciliação'!$B$6:$B$305,$A82,'Conciliação'!$S$6:$S$305,"OK"),0))</f>
        <v/>
      </c>
      <c r="K82" s="24">
        <f>IF(OR($I82="",$J82=""),"",MAX(0,$J82-$I82))</f>
        <v/>
      </c>
      <c r="L82" s="25">
        <f>IF($A82="","",IF($C82="Inativo",IF($J82&gt;0,"INATIVO COM PUBLICAÇÃO","INATIVO"),IF($I82="","REVISAR DADOS",IF($K82&gt;0,"EXPOSIÇÃO ACIMA DO DISPONÍVEL",IF($I82=0,"SEM SALDO DISPONÍVEL",IF($G82="","SEM DATA",IF('Configurações'!$B$5-$G82&gt;'Configurações'!$B$4,"ATUALIZAÇÃO VENCIDA","OK")))))))</f>
        <v/>
      </c>
      <c r="M82" s="25">
        <f>IF(COUNTA($A82:$G82)=0,"",IF($A82="","SKU AUSENTE",IF(COUNTIF($A$6:$A$205,$A82)&gt;1,"SKU DUPLICADO",IF($B82="","PRODUTO AUSENTE",IF(AND($C82&lt;&gt;"Ativo",$C82&lt;&gt;"Inativo"),"STATUS INVÁLIDO",IF(IFERROR(OR(NOT(ISNUMBER($D82)),$D82&lt;0,MOD($D82,1)&lt;&gt;0),TRUE),"SALDO FÍSICO INVÁLIDO",IF(IFERROR(OR(NOT(ISNUMBER($E82)),$E82&lt;0,MOD($E82,1)&lt;&gt;0),TRUE),"RESERVAS INVÁLIDAS",IF(AND($F82&lt;&gt;"",IFERROR(OR(NOT(ISNUMBER($F82)),$F82&lt;0,MOD($F82,1)&lt;&gt;0),TRUE)),"ESTOQUE DE SEGURANÇA INVÁLIDO",IF(IFERROR(OR(NOT(ISNUMBER($G82)),$G82&gt;'Configurações'!$B$5),TRUE),"DATA INVÁLIDA",IF($E82&gt;$D82,"RESERVAS MAIORES QUE O SALDO","OK"))))))))))</f>
        <v/>
      </c>
    </row>
    <row r="83">
      <c r="A83" s="21" t="n"/>
      <c r="B83" s="21" t="n"/>
      <c r="C83" s="21" t="n"/>
      <c r="D83" s="22" t="n"/>
      <c r="E83" s="22" t="n"/>
      <c r="F83" s="22" t="n"/>
      <c r="G83" s="23" t="n"/>
      <c r="H83" s="24">
        <f>IF($A83="","",IFERROR(SUMIFS('Conciliação'!$G$6:$G$305,'Conciliação'!$B$6:$B$305,$A83,'Conciliação'!$S$6:$S$305,"OK"),0))</f>
        <v/>
      </c>
      <c r="I83" s="24">
        <f>IF($A83="","",IF(OR(NOT(ISNUMBER($D83)),NOT(ISNUMBER($E83)),AND($F83&lt;&gt;"",NOT(ISNUMBER($F83)))),"",MAX(0,$D83-$E83-$H83-IF($F83="",'Configurações'!$B$2,$F83))))</f>
        <v/>
      </c>
      <c r="J83" s="24">
        <f>IF($A83="","",IFERROR(SUMIFS('Conciliação'!$F$6:$F$305,'Conciliação'!$B$6:$B$305,$A83,'Conciliação'!$S$6:$S$305,"OK"),0))</f>
        <v/>
      </c>
      <c r="K83" s="24">
        <f>IF(OR($I83="",$J83=""),"",MAX(0,$J83-$I83))</f>
        <v/>
      </c>
      <c r="L83" s="25">
        <f>IF($A83="","",IF($C83="Inativo",IF($J83&gt;0,"INATIVO COM PUBLICAÇÃO","INATIVO"),IF($I83="","REVISAR DADOS",IF($K83&gt;0,"EXPOSIÇÃO ACIMA DO DISPONÍVEL",IF($I83=0,"SEM SALDO DISPONÍVEL",IF($G83="","SEM DATA",IF('Configurações'!$B$5-$G83&gt;'Configurações'!$B$4,"ATUALIZAÇÃO VENCIDA","OK")))))))</f>
        <v/>
      </c>
      <c r="M83" s="25">
        <f>IF(COUNTA($A83:$G83)=0,"",IF($A83="","SKU AUSENTE",IF(COUNTIF($A$6:$A$205,$A83)&gt;1,"SKU DUPLICADO",IF($B83="","PRODUTO AUSENTE",IF(AND($C83&lt;&gt;"Ativo",$C83&lt;&gt;"Inativo"),"STATUS INVÁLIDO",IF(IFERROR(OR(NOT(ISNUMBER($D83)),$D83&lt;0,MOD($D83,1)&lt;&gt;0),TRUE),"SALDO FÍSICO INVÁLIDO",IF(IFERROR(OR(NOT(ISNUMBER($E83)),$E83&lt;0,MOD($E83,1)&lt;&gt;0),TRUE),"RESERVAS INVÁLIDAS",IF(AND($F83&lt;&gt;"",IFERROR(OR(NOT(ISNUMBER($F83)),$F83&lt;0,MOD($F83,1)&lt;&gt;0),TRUE)),"ESTOQUE DE SEGURANÇA INVÁLIDO",IF(IFERROR(OR(NOT(ISNUMBER($G83)),$G83&gt;'Configurações'!$B$5),TRUE),"DATA INVÁLIDA",IF($E83&gt;$D83,"RESERVAS MAIORES QUE O SALDO","OK"))))))))))</f>
        <v/>
      </c>
    </row>
    <row r="84">
      <c r="A84" s="21" t="n"/>
      <c r="B84" s="21" t="n"/>
      <c r="C84" s="21" t="n"/>
      <c r="D84" s="22" t="n"/>
      <c r="E84" s="22" t="n"/>
      <c r="F84" s="22" t="n"/>
      <c r="G84" s="23" t="n"/>
      <c r="H84" s="24">
        <f>IF($A84="","",IFERROR(SUMIFS('Conciliação'!$G$6:$G$305,'Conciliação'!$B$6:$B$305,$A84,'Conciliação'!$S$6:$S$305,"OK"),0))</f>
        <v/>
      </c>
      <c r="I84" s="24">
        <f>IF($A84="","",IF(OR(NOT(ISNUMBER($D84)),NOT(ISNUMBER($E84)),AND($F84&lt;&gt;"",NOT(ISNUMBER($F84)))),"",MAX(0,$D84-$E84-$H84-IF($F84="",'Configurações'!$B$2,$F84))))</f>
        <v/>
      </c>
      <c r="J84" s="24">
        <f>IF($A84="","",IFERROR(SUMIFS('Conciliação'!$F$6:$F$305,'Conciliação'!$B$6:$B$305,$A84,'Conciliação'!$S$6:$S$305,"OK"),0))</f>
        <v/>
      </c>
      <c r="K84" s="24">
        <f>IF(OR($I84="",$J84=""),"",MAX(0,$J84-$I84))</f>
        <v/>
      </c>
      <c r="L84" s="25">
        <f>IF($A84="","",IF($C84="Inativo",IF($J84&gt;0,"INATIVO COM PUBLICAÇÃO","INATIVO"),IF($I84="","REVISAR DADOS",IF($K84&gt;0,"EXPOSIÇÃO ACIMA DO DISPONÍVEL",IF($I84=0,"SEM SALDO DISPONÍVEL",IF($G84="","SEM DATA",IF('Configurações'!$B$5-$G84&gt;'Configurações'!$B$4,"ATUALIZAÇÃO VENCIDA","OK")))))))</f>
        <v/>
      </c>
      <c r="M84" s="25">
        <f>IF(COUNTA($A84:$G84)=0,"",IF($A84="","SKU AUSENTE",IF(COUNTIF($A$6:$A$205,$A84)&gt;1,"SKU DUPLICADO",IF($B84="","PRODUTO AUSENTE",IF(AND($C84&lt;&gt;"Ativo",$C84&lt;&gt;"Inativo"),"STATUS INVÁLIDO",IF(IFERROR(OR(NOT(ISNUMBER($D84)),$D84&lt;0,MOD($D84,1)&lt;&gt;0),TRUE),"SALDO FÍSICO INVÁLIDO",IF(IFERROR(OR(NOT(ISNUMBER($E84)),$E84&lt;0,MOD($E84,1)&lt;&gt;0),TRUE),"RESERVAS INVÁLIDAS",IF(AND($F84&lt;&gt;"",IFERROR(OR(NOT(ISNUMBER($F84)),$F84&lt;0,MOD($F84,1)&lt;&gt;0),TRUE)),"ESTOQUE DE SEGURANÇA INVÁLIDO",IF(IFERROR(OR(NOT(ISNUMBER($G84)),$G84&gt;'Configurações'!$B$5),TRUE),"DATA INVÁLIDA",IF($E84&gt;$D84,"RESERVAS MAIORES QUE O SALDO","OK"))))))))))</f>
        <v/>
      </c>
    </row>
    <row r="85">
      <c r="A85" s="21" t="n"/>
      <c r="B85" s="21" t="n"/>
      <c r="C85" s="21" t="n"/>
      <c r="D85" s="22" t="n"/>
      <c r="E85" s="22" t="n"/>
      <c r="F85" s="22" t="n"/>
      <c r="G85" s="23" t="n"/>
      <c r="H85" s="24">
        <f>IF($A85="","",IFERROR(SUMIFS('Conciliação'!$G$6:$G$305,'Conciliação'!$B$6:$B$305,$A85,'Conciliação'!$S$6:$S$305,"OK"),0))</f>
        <v/>
      </c>
      <c r="I85" s="24">
        <f>IF($A85="","",IF(OR(NOT(ISNUMBER($D85)),NOT(ISNUMBER($E85)),AND($F85&lt;&gt;"",NOT(ISNUMBER($F85)))),"",MAX(0,$D85-$E85-$H85-IF($F85="",'Configurações'!$B$2,$F85))))</f>
        <v/>
      </c>
      <c r="J85" s="24">
        <f>IF($A85="","",IFERROR(SUMIFS('Conciliação'!$F$6:$F$305,'Conciliação'!$B$6:$B$305,$A85,'Conciliação'!$S$6:$S$305,"OK"),0))</f>
        <v/>
      </c>
      <c r="K85" s="24">
        <f>IF(OR($I85="",$J85=""),"",MAX(0,$J85-$I85))</f>
        <v/>
      </c>
      <c r="L85" s="25">
        <f>IF($A85="","",IF($C85="Inativo",IF($J85&gt;0,"INATIVO COM PUBLICAÇÃO","INATIVO"),IF($I85="","REVISAR DADOS",IF($K85&gt;0,"EXPOSIÇÃO ACIMA DO DISPONÍVEL",IF($I85=0,"SEM SALDO DISPONÍVEL",IF($G85="","SEM DATA",IF('Configurações'!$B$5-$G85&gt;'Configurações'!$B$4,"ATUALIZAÇÃO VENCIDA","OK")))))))</f>
        <v/>
      </c>
      <c r="M85" s="25">
        <f>IF(COUNTA($A85:$G85)=0,"",IF($A85="","SKU AUSENTE",IF(COUNTIF($A$6:$A$205,$A85)&gt;1,"SKU DUPLICADO",IF($B85="","PRODUTO AUSENTE",IF(AND($C85&lt;&gt;"Ativo",$C85&lt;&gt;"Inativo"),"STATUS INVÁLIDO",IF(IFERROR(OR(NOT(ISNUMBER($D85)),$D85&lt;0,MOD($D85,1)&lt;&gt;0),TRUE),"SALDO FÍSICO INVÁLIDO",IF(IFERROR(OR(NOT(ISNUMBER($E85)),$E85&lt;0,MOD($E85,1)&lt;&gt;0),TRUE),"RESERVAS INVÁLIDAS",IF(AND($F85&lt;&gt;"",IFERROR(OR(NOT(ISNUMBER($F85)),$F85&lt;0,MOD($F85,1)&lt;&gt;0),TRUE)),"ESTOQUE DE SEGURANÇA INVÁLIDO",IF(IFERROR(OR(NOT(ISNUMBER($G85)),$G85&gt;'Configurações'!$B$5),TRUE),"DATA INVÁLIDA",IF($E85&gt;$D85,"RESERVAS MAIORES QUE O SALDO","OK"))))))))))</f>
        <v/>
      </c>
    </row>
    <row r="86">
      <c r="A86" s="21" t="n"/>
      <c r="B86" s="21" t="n"/>
      <c r="C86" s="21" t="n"/>
      <c r="D86" s="22" t="n"/>
      <c r="E86" s="22" t="n"/>
      <c r="F86" s="22" t="n"/>
      <c r="G86" s="23" t="n"/>
      <c r="H86" s="24">
        <f>IF($A86="","",IFERROR(SUMIFS('Conciliação'!$G$6:$G$305,'Conciliação'!$B$6:$B$305,$A86,'Conciliação'!$S$6:$S$305,"OK"),0))</f>
        <v/>
      </c>
      <c r="I86" s="24">
        <f>IF($A86="","",IF(OR(NOT(ISNUMBER($D86)),NOT(ISNUMBER($E86)),AND($F86&lt;&gt;"",NOT(ISNUMBER($F86)))),"",MAX(0,$D86-$E86-$H86-IF($F86="",'Configurações'!$B$2,$F86))))</f>
        <v/>
      </c>
      <c r="J86" s="24">
        <f>IF($A86="","",IFERROR(SUMIFS('Conciliação'!$F$6:$F$305,'Conciliação'!$B$6:$B$305,$A86,'Conciliação'!$S$6:$S$305,"OK"),0))</f>
        <v/>
      </c>
      <c r="K86" s="24">
        <f>IF(OR($I86="",$J86=""),"",MAX(0,$J86-$I86))</f>
        <v/>
      </c>
      <c r="L86" s="25">
        <f>IF($A86="","",IF($C86="Inativo",IF($J86&gt;0,"INATIVO COM PUBLICAÇÃO","INATIVO"),IF($I86="","REVISAR DADOS",IF($K86&gt;0,"EXPOSIÇÃO ACIMA DO DISPONÍVEL",IF($I86=0,"SEM SALDO DISPONÍVEL",IF($G86="","SEM DATA",IF('Configurações'!$B$5-$G86&gt;'Configurações'!$B$4,"ATUALIZAÇÃO VENCIDA","OK")))))))</f>
        <v/>
      </c>
      <c r="M86" s="25">
        <f>IF(COUNTA($A86:$G86)=0,"",IF($A86="","SKU AUSENTE",IF(COUNTIF($A$6:$A$205,$A86)&gt;1,"SKU DUPLICADO",IF($B86="","PRODUTO AUSENTE",IF(AND($C86&lt;&gt;"Ativo",$C86&lt;&gt;"Inativo"),"STATUS INVÁLIDO",IF(IFERROR(OR(NOT(ISNUMBER($D86)),$D86&lt;0,MOD($D86,1)&lt;&gt;0),TRUE),"SALDO FÍSICO INVÁLIDO",IF(IFERROR(OR(NOT(ISNUMBER($E86)),$E86&lt;0,MOD($E86,1)&lt;&gt;0),TRUE),"RESERVAS INVÁLIDAS",IF(AND($F86&lt;&gt;"",IFERROR(OR(NOT(ISNUMBER($F86)),$F86&lt;0,MOD($F86,1)&lt;&gt;0),TRUE)),"ESTOQUE DE SEGURANÇA INVÁLIDO",IF(IFERROR(OR(NOT(ISNUMBER($G86)),$G86&gt;'Configurações'!$B$5),TRUE),"DATA INVÁLIDA",IF($E86&gt;$D86,"RESERVAS MAIORES QUE O SALDO","OK"))))))))))</f>
        <v/>
      </c>
    </row>
    <row r="87">
      <c r="A87" s="21" t="n"/>
      <c r="B87" s="21" t="n"/>
      <c r="C87" s="21" t="n"/>
      <c r="D87" s="22" t="n"/>
      <c r="E87" s="22" t="n"/>
      <c r="F87" s="22" t="n"/>
      <c r="G87" s="23" t="n"/>
      <c r="H87" s="24">
        <f>IF($A87="","",IFERROR(SUMIFS('Conciliação'!$G$6:$G$305,'Conciliação'!$B$6:$B$305,$A87,'Conciliação'!$S$6:$S$305,"OK"),0))</f>
        <v/>
      </c>
      <c r="I87" s="24">
        <f>IF($A87="","",IF(OR(NOT(ISNUMBER($D87)),NOT(ISNUMBER($E87)),AND($F87&lt;&gt;"",NOT(ISNUMBER($F87)))),"",MAX(0,$D87-$E87-$H87-IF($F87="",'Configurações'!$B$2,$F87))))</f>
        <v/>
      </c>
      <c r="J87" s="24">
        <f>IF($A87="","",IFERROR(SUMIFS('Conciliação'!$F$6:$F$305,'Conciliação'!$B$6:$B$305,$A87,'Conciliação'!$S$6:$S$305,"OK"),0))</f>
        <v/>
      </c>
      <c r="K87" s="24">
        <f>IF(OR($I87="",$J87=""),"",MAX(0,$J87-$I87))</f>
        <v/>
      </c>
      <c r="L87" s="25">
        <f>IF($A87="","",IF($C87="Inativo",IF($J87&gt;0,"INATIVO COM PUBLICAÇÃO","INATIVO"),IF($I87="","REVISAR DADOS",IF($K87&gt;0,"EXPOSIÇÃO ACIMA DO DISPONÍVEL",IF($I87=0,"SEM SALDO DISPONÍVEL",IF($G87="","SEM DATA",IF('Configurações'!$B$5-$G87&gt;'Configurações'!$B$4,"ATUALIZAÇÃO VENCIDA","OK")))))))</f>
        <v/>
      </c>
      <c r="M87" s="25">
        <f>IF(COUNTA($A87:$G87)=0,"",IF($A87="","SKU AUSENTE",IF(COUNTIF($A$6:$A$205,$A87)&gt;1,"SKU DUPLICADO",IF($B87="","PRODUTO AUSENTE",IF(AND($C87&lt;&gt;"Ativo",$C87&lt;&gt;"Inativo"),"STATUS INVÁLIDO",IF(IFERROR(OR(NOT(ISNUMBER($D87)),$D87&lt;0,MOD($D87,1)&lt;&gt;0),TRUE),"SALDO FÍSICO INVÁLIDO",IF(IFERROR(OR(NOT(ISNUMBER($E87)),$E87&lt;0,MOD($E87,1)&lt;&gt;0),TRUE),"RESERVAS INVÁLIDAS",IF(AND($F87&lt;&gt;"",IFERROR(OR(NOT(ISNUMBER($F87)),$F87&lt;0,MOD($F87,1)&lt;&gt;0),TRUE)),"ESTOQUE DE SEGURANÇA INVÁLIDO",IF(IFERROR(OR(NOT(ISNUMBER($G87)),$G87&gt;'Configurações'!$B$5),TRUE),"DATA INVÁLIDA",IF($E87&gt;$D87,"RESERVAS MAIORES QUE O SALDO","OK"))))))))))</f>
        <v/>
      </c>
    </row>
    <row r="88">
      <c r="A88" s="21" t="n"/>
      <c r="B88" s="21" t="n"/>
      <c r="C88" s="21" t="n"/>
      <c r="D88" s="22" t="n"/>
      <c r="E88" s="22" t="n"/>
      <c r="F88" s="22" t="n"/>
      <c r="G88" s="23" t="n"/>
      <c r="H88" s="24">
        <f>IF($A88="","",IFERROR(SUMIFS('Conciliação'!$G$6:$G$305,'Conciliação'!$B$6:$B$305,$A88,'Conciliação'!$S$6:$S$305,"OK"),0))</f>
        <v/>
      </c>
      <c r="I88" s="24">
        <f>IF($A88="","",IF(OR(NOT(ISNUMBER($D88)),NOT(ISNUMBER($E88)),AND($F88&lt;&gt;"",NOT(ISNUMBER($F88)))),"",MAX(0,$D88-$E88-$H88-IF($F88="",'Configurações'!$B$2,$F88))))</f>
        <v/>
      </c>
      <c r="J88" s="24">
        <f>IF($A88="","",IFERROR(SUMIFS('Conciliação'!$F$6:$F$305,'Conciliação'!$B$6:$B$305,$A88,'Conciliação'!$S$6:$S$305,"OK"),0))</f>
        <v/>
      </c>
      <c r="K88" s="24">
        <f>IF(OR($I88="",$J88=""),"",MAX(0,$J88-$I88))</f>
        <v/>
      </c>
      <c r="L88" s="25">
        <f>IF($A88="","",IF($C88="Inativo",IF($J88&gt;0,"INATIVO COM PUBLICAÇÃO","INATIVO"),IF($I88="","REVISAR DADOS",IF($K88&gt;0,"EXPOSIÇÃO ACIMA DO DISPONÍVEL",IF($I88=0,"SEM SALDO DISPONÍVEL",IF($G88="","SEM DATA",IF('Configurações'!$B$5-$G88&gt;'Configurações'!$B$4,"ATUALIZAÇÃO VENCIDA","OK")))))))</f>
        <v/>
      </c>
      <c r="M88" s="25">
        <f>IF(COUNTA($A88:$G88)=0,"",IF($A88="","SKU AUSENTE",IF(COUNTIF($A$6:$A$205,$A88)&gt;1,"SKU DUPLICADO",IF($B88="","PRODUTO AUSENTE",IF(AND($C88&lt;&gt;"Ativo",$C88&lt;&gt;"Inativo"),"STATUS INVÁLIDO",IF(IFERROR(OR(NOT(ISNUMBER($D88)),$D88&lt;0,MOD($D88,1)&lt;&gt;0),TRUE),"SALDO FÍSICO INVÁLIDO",IF(IFERROR(OR(NOT(ISNUMBER($E88)),$E88&lt;0,MOD($E88,1)&lt;&gt;0),TRUE),"RESERVAS INVÁLIDAS",IF(AND($F88&lt;&gt;"",IFERROR(OR(NOT(ISNUMBER($F88)),$F88&lt;0,MOD($F88,1)&lt;&gt;0),TRUE)),"ESTOQUE DE SEGURANÇA INVÁLIDO",IF(IFERROR(OR(NOT(ISNUMBER($G88)),$G88&gt;'Configurações'!$B$5),TRUE),"DATA INVÁLIDA",IF($E88&gt;$D88,"RESERVAS MAIORES QUE O SALDO","OK"))))))))))</f>
        <v/>
      </c>
    </row>
    <row r="89">
      <c r="A89" s="21" t="n"/>
      <c r="B89" s="21" t="n"/>
      <c r="C89" s="21" t="n"/>
      <c r="D89" s="22" t="n"/>
      <c r="E89" s="22" t="n"/>
      <c r="F89" s="22" t="n"/>
      <c r="G89" s="23" t="n"/>
      <c r="H89" s="24">
        <f>IF($A89="","",IFERROR(SUMIFS('Conciliação'!$G$6:$G$305,'Conciliação'!$B$6:$B$305,$A89,'Conciliação'!$S$6:$S$305,"OK"),0))</f>
        <v/>
      </c>
      <c r="I89" s="24">
        <f>IF($A89="","",IF(OR(NOT(ISNUMBER($D89)),NOT(ISNUMBER($E89)),AND($F89&lt;&gt;"",NOT(ISNUMBER($F89)))),"",MAX(0,$D89-$E89-$H89-IF($F89="",'Configurações'!$B$2,$F89))))</f>
        <v/>
      </c>
      <c r="J89" s="24">
        <f>IF($A89="","",IFERROR(SUMIFS('Conciliação'!$F$6:$F$305,'Conciliação'!$B$6:$B$305,$A89,'Conciliação'!$S$6:$S$305,"OK"),0))</f>
        <v/>
      </c>
      <c r="K89" s="24">
        <f>IF(OR($I89="",$J89=""),"",MAX(0,$J89-$I89))</f>
        <v/>
      </c>
      <c r="L89" s="25">
        <f>IF($A89="","",IF($C89="Inativo",IF($J89&gt;0,"INATIVO COM PUBLICAÇÃO","INATIVO"),IF($I89="","REVISAR DADOS",IF($K89&gt;0,"EXPOSIÇÃO ACIMA DO DISPONÍVEL",IF($I89=0,"SEM SALDO DISPONÍVEL",IF($G89="","SEM DATA",IF('Configurações'!$B$5-$G89&gt;'Configurações'!$B$4,"ATUALIZAÇÃO VENCIDA","OK")))))))</f>
        <v/>
      </c>
      <c r="M89" s="25">
        <f>IF(COUNTA($A89:$G89)=0,"",IF($A89="","SKU AUSENTE",IF(COUNTIF($A$6:$A$205,$A89)&gt;1,"SKU DUPLICADO",IF($B89="","PRODUTO AUSENTE",IF(AND($C89&lt;&gt;"Ativo",$C89&lt;&gt;"Inativo"),"STATUS INVÁLIDO",IF(IFERROR(OR(NOT(ISNUMBER($D89)),$D89&lt;0,MOD($D89,1)&lt;&gt;0),TRUE),"SALDO FÍSICO INVÁLIDO",IF(IFERROR(OR(NOT(ISNUMBER($E89)),$E89&lt;0,MOD($E89,1)&lt;&gt;0),TRUE),"RESERVAS INVÁLIDAS",IF(AND($F89&lt;&gt;"",IFERROR(OR(NOT(ISNUMBER($F89)),$F89&lt;0,MOD($F89,1)&lt;&gt;0),TRUE)),"ESTOQUE DE SEGURANÇA INVÁLIDO",IF(IFERROR(OR(NOT(ISNUMBER($G89)),$G89&gt;'Configurações'!$B$5),TRUE),"DATA INVÁLIDA",IF($E89&gt;$D89,"RESERVAS MAIORES QUE O SALDO","OK"))))))))))</f>
        <v/>
      </c>
    </row>
    <row r="90">
      <c r="A90" s="21" t="n"/>
      <c r="B90" s="21" t="n"/>
      <c r="C90" s="21" t="n"/>
      <c r="D90" s="22" t="n"/>
      <c r="E90" s="22" t="n"/>
      <c r="F90" s="22" t="n"/>
      <c r="G90" s="23" t="n"/>
      <c r="H90" s="24">
        <f>IF($A90="","",IFERROR(SUMIFS('Conciliação'!$G$6:$G$305,'Conciliação'!$B$6:$B$305,$A90,'Conciliação'!$S$6:$S$305,"OK"),0))</f>
        <v/>
      </c>
      <c r="I90" s="24">
        <f>IF($A90="","",IF(OR(NOT(ISNUMBER($D90)),NOT(ISNUMBER($E90)),AND($F90&lt;&gt;"",NOT(ISNUMBER($F90)))),"",MAX(0,$D90-$E90-$H90-IF($F90="",'Configurações'!$B$2,$F90))))</f>
        <v/>
      </c>
      <c r="J90" s="24">
        <f>IF($A90="","",IFERROR(SUMIFS('Conciliação'!$F$6:$F$305,'Conciliação'!$B$6:$B$305,$A90,'Conciliação'!$S$6:$S$305,"OK"),0))</f>
        <v/>
      </c>
      <c r="K90" s="24">
        <f>IF(OR($I90="",$J90=""),"",MAX(0,$J90-$I90))</f>
        <v/>
      </c>
      <c r="L90" s="25">
        <f>IF($A90="","",IF($C90="Inativo",IF($J90&gt;0,"INATIVO COM PUBLICAÇÃO","INATIVO"),IF($I90="","REVISAR DADOS",IF($K90&gt;0,"EXPOSIÇÃO ACIMA DO DISPONÍVEL",IF($I90=0,"SEM SALDO DISPONÍVEL",IF($G90="","SEM DATA",IF('Configurações'!$B$5-$G90&gt;'Configurações'!$B$4,"ATUALIZAÇÃO VENCIDA","OK")))))))</f>
        <v/>
      </c>
      <c r="M90" s="25">
        <f>IF(COUNTA($A90:$G90)=0,"",IF($A90="","SKU AUSENTE",IF(COUNTIF($A$6:$A$205,$A90)&gt;1,"SKU DUPLICADO",IF($B90="","PRODUTO AUSENTE",IF(AND($C90&lt;&gt;"Ativo",$C90&lt;&gt;"Inativo"),"STATUS INVÁLIDO",IF(IFERROR(OR(NOT(ISNUMBER($D90)),$D90&lt;0,MOD($D90,1)&lt;&gt;0),TRUE),"SALDO FÍSICO INVÁLIDO",IF(IFERROR(OR(NOT(ISNUMBER($E90)),$E90&lt;0,MOD($E90,1)&lt;&gt;0),TRUE),"RESERVAS INVÁLIDAS",IF(AND($F90&lt;&gt;"",IFERROR(OR(NOT(ISNUMBER($F90)),$F90&lt;0,MOD($F90,1)&lt;&gt;0),TRUE)),"ESTOQUE DE SEGURANÇA INVÁLIDO",IF(IFERROR(OR(NOT(ISNUMBER($G90)),$G90&gt;'Configurações'!$B$5),TRUE),"DATA INVÁLIDA",IF($E90&gt;$D90,"RESERVAS MAIORES QUE O SALDO","OK"))))))))))</f>
        <v/>
      </c>
    </row>
    <row r="91">
      <c r="A91" s="21" t="n"/>
      <c r="B91" s="21" t="n"/>
      <c r="C91" s="21" t="n"/>
      <c r="D91" s="22" t="n"/>
      <c r="E91" s="22" t="n"/>
      <c r="F91" s="22" t="n"/>
      <c r="G91" s="23" t="n"/>
      <c r="H91" s="24">
        <f>IF($A91="","",IFERROR(SUMIFS('Conciliação'!$G$6:$G$305,'Conciliação'!$B$6:$B$305,$A91,'Conciliação'!$S$6:$S$305,"OK"),0))</f>
        <v/>
      </c>
      <c r="I91" s="24">
        <f>IF($A91="","",IF(OR(NOT(ISNUMBER($D91)),NOT(ISNUMBER($E91)),AND($F91&lt;&gt;"",NOT(ISNUMBER($F91)))),"",MAX(0,$D91-$E91-$H91-IF($F91="",'Configurações'!$B$2,$F91))))</f>
        <v/>
      </c>
      <c r="J91" s="24">
        <f>IF($A91="","",IFERROR(SUMIFS('Conciliação'!$F$6:$F$305,'Conciliação'!$B$6:$B$305,$A91,'Conciliação'!$S$6:$S$305,"OK"),0))</f>
        <v/>
      </c>
      <c r="K91" s="24">
        <f>IF(OR($I91="",$J91=""),"",MAX(0,$J91-$I91))</f>
        <v/>
      </c>
      <c r="L91" s="25">
        <f>IF($A91="","",IF($C91="Inativo",IF($J91&gt;0,"INATIVO COM PUBLICAÇÃO","INATIVO"),IF($I91="","REVISAR DADOS",IF($K91&gt;0,"EXPOSIÇÃO ACIMA DO DISPONÍVEL",IF($I91=0,"SEM SALDO DISPONÍVEL",IF($G91="","SEM DATA",IF('Configurações'!$B$5-$G91&gt;'Configurações'!$B$4,"ATUALIZAÇÃO VENCIDA","OK")))))))</f>
        <v/>
      </c>
      <c r="M91" s="25">
        <f>IF(COUNTA($A91:$G91)=0,"",IF($A91="","SKU AUSENTE",IF(COUNTIF($A$6:$A$205,$A91)&gt;1,"SKU DUPLICADO",IF($B91="","PRODUTO AUSENTE",IF(AND($C91&lt;&gt;"Ativo",$C91&lt;&gt;"Inativo"),"STATUS INVÁLIDO",IF(IFERROR(OR(NOT(ISNUMBER($D91)),$D91&lt;0,MOD($D91,1)&lt;&gt;0),TRUE),"SALDO FÍSICO INVÁLIDO",IF(IFERROR(OR(NOT(ISNUMBER($E91)),$E91&lt;0,MOD($E91,1)&lt;&gt;0),TRUE),"RESERVAS INVÁLIDAS",IF(AND($F91&lt;&gt;"",IFERROR(OR(NOT(ISNUMBER($F91)),$F91&lt;0,MOD($F91,1)&lt;&gt;0),TRUE)),"ESTOQUE DE SEGURANÇA INVÁLIDO",IF(IFERROR(OR(NOT(ISNUMBER($G91)),$G91&gt;'Configurações'!$B$5),TRUE),"DATA INVÁLIDA",IF($E91&gt;$D91,"RESERVAS MAIORES QUE O SALDO","OK"))))))))))</f>
        <v/>
      </c>
    </row>
    <row r="92">
      <c r="A92" s="21" t="n"/>
      <c r="B92" s="21" t="n"/>
      <c r="C92" s="21" t="n"/>
      <c r="D92" s="22" t="n"/>
      <c r="E92" s="22" t="n"/>
      <c r="F92" s="22" t="n"/>
      <c r="G92" s="23" t="n"/>
      <c r="H92" s="24">
        <f>IF($A92="","",IFERROR(SUMIFS('Conciliação'!$G$6:$G$305,'Conciliação'!$B$6:$B$305,$A92,'Conciliação'!$S$6:$S$305,"OK"),0))</f>
        <v/>
      </c>
      <c r="I92" s="24">
        <f>IF($A92="","",IF(OR(NOT(ISNUMBER($D92)),NOT(ISNUMBER($E92)),AND($F92&lt;&gt;"",NOT(ISNUMBER($F92)))),"",MAX(0,$D92-$E92-$H92-IF($F92="",'Configurações'!$B$2,$F92))))</f>
        <v/>
      </c>
      <c r="J92" s="24">
        <f>IF($A92="","",IFERROR(SUMIFS('Conciliação'!$F$6:$F$305,'Conciliação'!$B$6:$B$305,$A92,'Conciliação'!$S$6:$S$305,"OK"),0))</f>
        <v/>
      </c>
      <c r="K92" s="24">
        <f>IF(OR($I92="",$J92=""),"",MAX(0,$J92-$I92))</f>
        <v/>
      </c>
      <c r="L92" s="25">
        <f>IF($A92="","",IF($C92="Inativo",IF($J92&gt;0,"INATIVO COM PUBLICAÇÃO","INATIVO"),IF($I92="","REVISAR DADOS",IF($K92&gt;0,"EXPOSIÇÃO ACIMA DO DISPONÍVEL",IF($I92=0,"SEM SALDO DISPONÍVEL",IF($G92="","SEM DATA",IF('Configurações'!$B$5-$G92&gt;'Configurações'!$B$4,"ATUALIZAÇÃO VENCIDA","OK")))))))</f>
        <v/>
      </c>
      <c r="M92" s="25">
        <f>IF(COUNTA($A92:$G92)=0,"",IF($A92="","SKU AUSENTE",IF(COUNTIF($A$6:$A$205,$A92)&gt;1,"SKU DUPLICADO",IF($B92="","PRODUTO AUSENTE",IF(AND($C92&lt;&gt;"Ativo",$C92&lt;&gt;"Inativo"),"STATUS INVÁLIDO",IF(IFERROR(OR(NOT(ISNUMBER($D92)),$D92&lt;0,MOD($D92,1)&lt;&gt;0),TRUE),"SALDO FÍSICO INVÁLIDO",IF(IFERROR(OR(NOT(ISNUMBER($E92)),$E92&lt;0,MOD($E92,1)&lt;&gt;0),TRUE),"RESERVAS INVÁLIDAS",IF(AND($F92&lt;&gt;"",IFERROR(OR(NOT(ISNUMBER($F92)),$F92&lt;0,MOD($F92,1)&lt;&gt;0),TRUE)),"ESTOQUE DE SEGURANÇA INVÁLIDO",IF(IFERROR(OR(NOT(ISNUMBER($G92)),$G92&gt;'Configurações'!$B$5),TRUE),"DATA INVÁLIDA",IF($E92&gt;$D92,"RESERVAS MAIORES QUE O SALDO","OK"))))))))))</f>
        <v/>
      </c>
    </row>
    <row r="93">
      <c r="A93" s="21" t="n"/>
      <c r="B93" s="21" t="n"/>
      <c r="C93" s="21" t="n"/>
      <c r="D93" s="22" t="n"/>
      <c r="E93" s="22" t="n"/>
      <c r="F93" s="22" t="n"/>
      <c r="G93" s="23" t="n"/>
      <c r="H93" s="24">
        <f>IF($A93="","",IFERROR(SUMIFS('Conciliação'!$G$6:$G$305,'Conciliação'!$B$6:$B$305,$A93,'Conciliação'!$S$6:$S$305,"OK"),0))</f>
        <v/>
      </c>
      <c r="I93" s="24">
        <f>IF($A93="","",IF(OR(NOT(ISNUMBER($D93)),NOT(ISNUMBER($E93)),AND($F93&lt;&gt;"",NOT(ISNUMBER($F93)))),"",MAX(0,$D93-$E93-$H93-IF($F93="",'Configurações'!$B$2,$F93))))</f>
        <v/>
      </c>
      <c r="J93" s="24">
        <f>IF($A93="","",IFERROR(SUMIFS('Conciliação'!$F$6:$F$305,'Conciliação'!$B$6:$B$305,$A93,'Conciliação'!$S$6:$S$305,"OK"),0))</f>
        <v/>
      </c>
      <c r="K93" s="24">
        <f>IF(OR($I93="",$J93=""),"",MAX(0,$J93-$I93))</f>
        <v/>
      </c>
      <c r="L93" s="25">
        <f>IF($A93="","",IF($C93="Inativo",IF($J93&gt;0,"INATIVO COM PUBLICAÇÃO","INATIVO"),IF($I93="","REVISAR DADOS",IF($K93&gt;0,"EXPOSIÇÃO ACIMA DO DISPONÍVEL",IF($I93=0,"SEM SALDO DISPONÍVEL",IF($G93="","SEM DATA",IF('Configurações'!$B$5-$G93&gt;'Configurações'!$B$4,"ATUALIZAÇÃO VENCIDA","OK")))))))</f>
        <v/>
      </c>
      <c r="M93" s="25">
        <f>IF(COUNTA($A93:$G93)=0,"",IF($A93="","SKU AUSENTE",IF(COUNTIF($A$6:$A$205,$A93)&gt;1,"SKU DUPLICADO",IF($B93="","PRODUTO AUSENTE",IF(AND($C93&lt;&gt;"Ativo",$C93&lt;&gt;"Inativo"),"STATUS INVÁLIDO",IF(IFERROR(OR(NOT(ISNUMBER($D93)),$D93&lt;0,MOD($D93,1)&lt;&gt;0),TRUE),"SALDO FÍSICO INVÁLIDO",IF(IFERROR(OR(NOT(ISNUMBER($E93)),$E93&lt;0,MOD($E93,1)&lt;&gt;0),TRUE),"RESERVAS INVÁLIDAS",IF(AND($F93&lt;&gt;"",IFERROR(OR(NOT(ISNUMBER($F93)),$F93&lt;0,MOD($F93,1)&lt;&gt;0),TRUE)),"ESTOQUE DE SEGURANÇA INVÁLIDO",IF(IFERROR(OR(NOT(ISNUMBER($G93)),$G93&gt;'Configurações'!$B$5),TRUE),"DATA INVÁLIDA",IF($E93&gt;$D93,"RESERVAS MAIORES QUE O SALDO","OK"))))))))))</f>
        <v/>
      </c>
    </row>
    <row r="94">
      <c r="A94" s="21" t="n"/>
      <c r="B94" s="21" t="n"/>
      <c r="C94" s="21" t="n"/>
      <c r="D94" s="22" t="n"/>
      <c r="E94" s="22" t="n"/>
      <c r="F94" s="22" t="n"/>
      <c r="G94" s="23" t="n"/>
      <c r="H94" s="24">
        <f>IF($A94="","",IFERROR(SUMIFS('Conciliação'!$G$6:$G$305,'Conciliação'!$B$6:$B$305,$A94,'Conciliação'!$S$6:$S$305,"OK"),0))</f>
        <v/>
      </c>
      <c r="I94" s="24">
        <f>IF($A94="","",IF(OR(NOT(ISNUMBER($D94)),NOT(ISNUMBER($E94)),AND($F94&lt;&gt;"",NOT(ISNUMBER($F94)))),"",MAX(0,$D94-$E94-$H94-IF($F94="",'Configurações'!$B$2,$F94))))</f>
        <v/>
      </c>
      <c r="J94" s="24">
        <f>IF($A94="","",IFERROR(SUMIFS('Conciliação'!$F$6:$F$305,'Conciliação'!$B$6:$B$305,$A94,'Conciliação'!$S$6:$S$305,"OK"),0))</f>
        <v/>
      </c>
      <c r="K94" s="24">
        <f>IF(OR($I94="",$J94=""),"",MAX(0,$J94-$I94))</f>
        <v/>
      </c>
      <c r="L94" s="25">
        <f>IF($A94="","",IF($C94="Inativo",IF($J94&gt;0,"INATIVO COM PUBLICAÇÃO","INATIVO"),IF($I94="","REVISAR DADOS",IF($K94&gt;0,"EXPOSIÇÃO ACIMA DO DISPONÍVEL",IF($I94=0,"SEM SALDO DISPONÍVEL",IF($G94="","SEM DATA",IF('Configurações'!$B$5-$G94&gt;'Configurações'!$B$4,"ATUALIZAÇÃO VENCIDA","OK")))))))</f>
        <v/>
      </c>
      <c r="M94" s="25">
        <f>IF(COUNTA($A94:$G94)=0,"",IF($A94="","SKU AUSENTE",IF(COUNTIF($A$6:$A$205,$A94)&gt;1,"SKU DUPLICADO",IF($B94="","PRODUTO AUSENTE",IF(AND($C94&lt;&gt;"Ativo",$C94&lt;&gt;"Inativo"),"STATUS INVÁLIDO",IF(IFERROR(OR(NOT(ISNUMBER($D94)),$D94&lt;0,MOD($D94,1)&lt;&gt;0),TRUE),"SALDO FÍSICO INVÁLIDO",IF(IFERROR(OR(NOT(ISNUMBER($E94)),$E94&lt;0,MOD($E94,1)&lt;&gt;0),TRUE),"RESERVAS INVÁLIDAS",IF(AND($F94&lt;&gt;"",IFERROR(OR(NOT(ISNUMBER($F94)),$F94&lt;0,MOD($F94,1)&lt;&gt;0),TRUE)),"ESTOQUE DE SEGURANÇA INVÁLIDO",IF(IFERROR(OR(NOT(ISNUMBER($G94)),$G94&gt;'Configurações'!$B$5),TRUE),"DATA INVÁLIDA",IF($E94&gt;$D94,"RESERVAS MAIORES QUE O SALDO","OK"))))))))))</f>
        <v/>
      </c>
    </row>
    <row r="95">
      <c r="A95" s="21" t="n"/>
      <c r="B95" s="21" t="n"/>
      <c r="C95" s="21" t="n"/>
      <c r="D95" s="22" t="n"/>
      <c r="E95" s="22" t="n"/>
      <c r="F95" s="22" t="n"/>
      <c r="G95" s="23" t="n"/>
      <c r="H95" s="24">
        <f>IF($A95="","",IFERROR(SUMIFS('Conciliação'!$G$6:$G$305,'Conciliação'!$B$6:$B$305,$A95,'Conciliação'!$S$6:$S$305,"OK"),0))</f>
        <v/>
      </c>
      <c r="I95" s="24">
        <f>IF($A95="","",IF(OR(NOT(ISNUMBER($D95)),NOT(ISNUMBER($E95)),AND($F95&lt;&gt;"",NOT(ISNUMBER($F95)))),"",MAX(0,$D95-$E95-$H95-IF($F95="",'Configurações'!$B$2,$F95))))</f>
        <v/>
      </c>
      <c r="J95" s="24">
        <f>IF($A95="","",IFERROR(SUMIFS('Conciliação'!$F$6:$F$305,'Conciliação'!$B$6:$B$305,$A95,'Conciliação'!$S$6:$S$305,"OK"),0))</f>
        <v/>
      </c>
      <c r="K95" s="24">
        <f>IF(OR($I95="",$J95=""),"",MAX(0,$J95-$I95))</f>
        <v/>
      </c>
      <c r="L95" s="25">
        <f>IF($A95="","",IF($C95="Inativo",IF($J95&gt;0,"INATIVO COM PUBLICAÇÃO","INATIVO"),IF($I95="","REVISAR DADOS",IF($K95&gt;0,"EXPOSIÇÃO ACIMA DO DISPONÍVEL",IF($I95=0,"SEM SALDO DISPONÍVEL",IF($G95="","SEM DATA",IF('Configurações'!$B$5-$G95&gt;'Configurações'!$B$4,"ATUALIZAÇÃO VENCIDA","OK")))))))</f>
        <v/>
      </c>
      <c r="M95" s="25">
        <f>IF(COUNTA($A95:$G95)=0,"",IF($A95="","SKU AUSENTE",IF(COUNTIF($A$6:$A$205,$A95)&gt;1,"SKU DUPLICADO",IF($B95="","PRODUTO AUSENTE",IF(AND($C95&lt;&gt;"Ativo",$C95&lt;&gt;"Inativo"),"STATUS INVÁLIDO",IF(IFERROR(OR(NOT(ISNUMBER($D95)),$D95&lt;0,MOD($D95,1)&lt;&gt;0),TRUE),"SALDO FÍSICO INVÁLIDO",IF(IFERROR(OR(NOT(ISNUMBER($E95)),$E95&lt;0,MOD($E95,1)&lt;&gt;0),TRUE),"RESERVAS INVÁLIDAS",IF(AND($F95&lt;&gt;"",IFERROR(OR(NOT(ISNUMBER($F95)),$F95&lt;0,MOD($F95,1)&lt;&gt;0),TRUE)),"ESTOQUE DE SEGURANÇA INVÁLIDO",IF(IFERROR(OR(NOT(ISNUMBER($G95)),$G95&gt;'Configurações'!$B$5),TRUE),"DATA INVÁLIDA",IF($E95&gt;$D95,"RESERVAS MAIORES QUE O SALDO","OK"))))))))))</f>
        <v/>
      </c>
    </row>
    <row r="96">
      <c r="A96" s="21" t="n"/>
      <c r="B96" s="21" t="n"/>
      <c r="C96" s="21" t="n"/>
      <c r="D96" s="22" t="n"/>
      <c r="E96" s="22" t="n"/>
      <c r="F96" s="22" t="n"/>
      <c r="G96" s="23" t="n"/>
      <c r="H96" s="24">
        <f>IF($A96="","",IFERROR(SUMIFS('Conciliação'!$G$6:$G$305,'Conciliação'!$B$6:$B$305,$A96,'Conciliação'!$S$6:$S$305,"OK"),0))</f>
        <v/>
      </c>
      <c r="I96" s="24">
        <f>IF($A96="","",IF(OR(NOT(ISNUMBER($D96)),NOT(ISNUMBER($E96)),AND($F96&lt;&gt;"",NOT(ISNUMBER($F96)))),"",MAX(0,$D96-$E96-$H96-IF($F96="",'Configurações'!$B$2,$F96))))</f>
        <v/>
      </c>
      <c r="J96" s="24">
        <f>IF($A96="","",IFERROR(SUMIFS('Conciliação'!$F$6:$F$305,'Conciliação'!$B$6:$B$305,$A96,'Conciliação'!$S$6:$S$305,"OK"),0))</f>
        <v/>
      </c>
      <c r="K96" s="24">
        <f>IF(OR($I96="",$J96=""),"",MAX(0,$J96-$I96))</f>
        <v/>
      </c>
      <c r="L96" s="25">
        <f>IF($A96="","",IF($C96="Inativo",IF($J96&gt;0,"INATIVO COM PUBLICAÇÃO","INATIVO"),IF($I96="","REVISAR DADOS",IF($K96&gt;0,"EXPOSIÇÃO ACIMA DO DISPONÍVEL",IF($I96=0,"SEM SALDO DISPONÍVEL",IF($G96="","SEM DATA",IF('Configurações'!$B$5-$G96&gt;'Configurações'!$B$4,"ATUALIZAÇÃO VENCIDA","OK")))))))</f>
        <v/>
      </c>
      <c r="M96" s="25">
        <f>IF(COUNTA($A96:$G96)=0,"",IF($A96="","SKU AUSENTE",IF(COUNTIF($A$6:$A$205,$A96)&gt;1,"SKU DUPLICADO",IF($B96="","PRODUTO AUSENTE",IF(AND($C96&lt;&gt;"Ativo",$C96&lt;&gt;"Inativo"),"STATUS INVÁLIDO",IF(IFERROR(OR(NOT(ISNUMBER($D96)),$D96&lt;0,MOD($D96,1)&lt;&gt;0),TRUE),"SALDO FÍSICO INVÁLIDO",IF(IFERROR(OR(NOT(ISNUMBER($E96)),$E96&lt;0,MOD($E96,1)&lt;&gt;0),TRUE),"RESERVAS INVÁLIDAS",IF(AND($F96&lt;&gt;"",IFERROR(OR(NOT(ISNUMBER($F96)),$F96&lt;0,MOD($F96,1)&lt;&gt;0),TRUE)),"ESTOQUE DE SEGURANÇA INVÁLIDO",IF(IFERROR(OR(NOT(ISNUMBER($G96)),$G96&gt;'Configurações'!$B$5),TRUE),"DATA INVÁLIDA",IF($E96&gt;$D96,"RESERVAS MAIORES QUE O SALDO","OK"))))))))))</f>
        <v/>
      </c>
    </row>
    <row r="97">
      <c r="A97" s="21" t="n"/>
      <c r="B97" s="21" t="n"/>
      <c r="C97" s="21" t="n"/>
      <c r="D97" s="22" t="n"/>
      <c r="E97" s="22" t="n"/>
      <c r="F97" s="22" t="n"/>
      <c r="G97" s="23" t="n"/>
      <c r="H97" s="24">
        <f>IF($A97="","",IFERROR(SUMIFS('Conciliação'!$G$6:$G$305,'Conciliação'!$B$6:$B$305,$A97,'Conciliação'!$S$6:$S$305,"OK"),0))</f>
        <v/>
      </c>
      <c r="I97" s="24">
        <f>IF($A97="","",IF(OR(NOT(ISNUMBER($D97)),NOT(ISNUMBER($E97)),AND($F97&lt;&gt;"",NOT(ISNUMBER($F97)))),"",MAX(0,$D97-$E97-$H97-IF($F97="",'Configurações'!$B$2,$F97))))</f>
        <v/>
      </c>
      <c r="J97" s="24">
        <f>IF($A97="","",IFERROR(SUMIFS('Conciliação'!$F$6:$F$305,'Conciliação'!$B$6:$B$305,$A97,'Conciliação'!$S$6:$S$305,"OK"),0))</f>
        <v/>
      </c>
      <c r="K97" s="24">
        <f>IF(OR($I97="",$J97=""),"",MAX(0,$J97-$I97))</f>
        <v/>
      </c>
      <c r="L97" s="25">
        <f>IF($A97="","",IF($C97="Inativo",IF($J97&gt;0,"INATIVO COM PUBLICAÇÃO","INATIVO"),IF($I97="","REVISAR DADOS",IF($K97&gt;0,"EXPOSIÇÃO ACIMA DO DISPONÍVEL",IF($I97=0,"SEM SALDO DISPONÍVEL",IF($G97="","SEM DATA",IF('Configurações'!$B$5-$G97&gt;'Configurações'!$B$4,"ATUALIZAÇÃO VENCIDA","OK")))))))</f>
        <v/>
      </c>
      <c r="M97" s="25">
        <f>IF(COUNTA($A97:$G97)=0,"",IF($A97="","SKU AUSENTE",IF(COUNTIF($A$6:$A$205,$A97)&gt;1,"SKU DUPLICADO",IF($B97="","PRODUTO AUSENTE",IF(AND($C97&lt;&gt;"Ativo",$C97&lt;&gt;"Inativo"),"STATUS INVÁLIDO",IF(IFERROR(OR(NOT(ISNUMBER($D97)),$D97&lt;0,MOD($D97,1)&lt;&gt;0),TRUE),"SALDO FÍSICO INVÁLIDO",IF(IFERROR(OR(NOT(ISNUMBER($E97)),$E97&lt;0,MOD($E97,1)&lt;&gt;0),TRUE),"RESERVAS INVÁLIDAS",IF(AND($F97&lt;&gt;"",IFERROR(OR(NOT(ISNUMBER($F97)),$F97&lt;0,MOD($F97,1)&lt;&gt;0),TRUE)),"ESTOQUE DE SEGURANÇA INVÁLIDO",IF(IFERROR(OR(NOT(ISNUMBER($G97)),$G97&gt;'Configurações'!$B$5),TRUE),"DATA INVÁLIDA",IF($E97&gt;$D97,"RESERVAS MAIORES QUE O SALDO","OK"))))))))))</f>
        <v/>
      </c>
    </row>
    <row r="98">
      <c r="A98" s="21" t="n"/>
      <c r="B98" s="21" t="n"/>
      <c r="C98" s="21" t="n"/>
      <c r="D98" s="22" t="n"/>
      <c r="E98" s="22" t="n"/>
      <c r="F98" s="22" t="n"/>
      <c r="G98" s="23" t="n"/>
      <c r="H98" s="24">
        <f>IF($A98="","",IFERROR(SUMIFS('Conciliação'!$G$6:$G$305,'Conciliação'!$B$6:$B$305,$A98,'Conciliação'!$S$6:$S$305,"OK"),0))</f>
        <v/>
      </c>
      <c r="I98" s="24">
        <f>IF($A98="","",IF(OR(NOT(ISNUMBER($D98)),NOT(ISNUMBER($E98)),AND($F98&lt;&gt;"",NOT(ISNUMBER($F98)))),"",MAX(0,$D98-$E98-$H98-IF($F98="",'Configurações'!$B$2,$F98))))</f>
        <v/>
      </c>
      <c r="J98" s="24">
        <f>IF($A98="","",IFERROR(SUMIFS('Conciliação'!$F$6:$F$305,'Conciliação'!$B$6:$B$305,$A98,'Conciliação'!$S$6:$S$305,"OK"),0))</f>
        <v/>
      </c>
      <c r="K98" s="24">
        <f>IF(OR($I98="",$J98=""),"",MAX(0,$J98-$I98))</f>
        <v/>
      </c>
      <c r="L98" s="25">
        <f>IF($A98="","",IF($C98="Inativo",IF($J98&gt;0,"INATIVO COM PUBLICAÇÃO","INATIVO"),IF($I98="","REVISAR DADOS",IF($K98&gt;0,"EXPOSIÇÃO ACIMA DO DISPONÍVEL",IF($I98=0,"SEM SALDO DISPONÍVEL",IF($G98="","SEM DATA",IF('Configurações'!$B$5-$G98&gt;'Configurações'!$B$4,"ATUALIZAÇÃO VENCIDA","OK")))))))</f>
        <v/>
      </c>
      <c r="M98" s="25">
        <f>IF(COUNTA($A98:$G98)=0,"",IF($A98="","SKU AUSENTE",IF(COUNTIF($A$6:$A$205,$A98)&gt;1,"SKU DUPLICADO",IF($B98="","PRODUTO AUSENTE",IF(AND($C98&lt;&gt;"Ativo",$C98&lt;&gt;"Inativo"),"STATUS INVÁLIDO",IF(IFERROR(OR(NOT(ISNUMBER($D98)),$D98&lt;0,MOD($D98,1)&lt;&gt;0),TRUE),"SALDO FÍSICO INVÁLIDO",IF(IFERROR(OR(NOT(ISNUMBER($E98)),$E98&lt;0,MOD($E98,1)&lt;&gt;0),TRUE),"RESERVAS INVÁLIDAS",IF(AND($F98&lt;&gt;"",IFERROR(OR(NOT(ISNUMBER($F98)),$F98&lt;0,MOD($F98,1)&lt;&gt;0),TRUE)),"ESTOQUE DE SEGURANÇA INVÁLIDO",IF(IFERROR(OR(NOT(ISNUMBER($G98)),$G98&gt;'Configurações'!$B$5),TRUE),"DATA INVÁLIDA",IF($E98&gt;$D98,"RESERVAS MAIORES QUE O SALDO","OK"))))))))))</f>
        <v/>
      </c>
    </row>
    <row r="99">
      <c r="A99" s="21" t="n"/>
      <c r="B99" s="21" t="n"/>
      <c r="C99" s="21" t="n"/>
      <c r="D99" s="22" t="n"/>
      <c r="E99" s="22" t="n"/>
      <c r="F99" s="22" t="n"/>
      <c r="G99" s="23" t="n"/>
      <c r="H99" s="24">
        <f>IF($A99="","",IFERROR(SUMIFS('Conciliação'!$G$6:$G$305,'Conciliação'!$B$6:$B$305,$A99,'Conciliação'!$S$6:$S$305,"OK"),0))</f>
        <v/>
      </c>
      <c r="I99" s="24">
        <f>IF($A99="","",IF(OR(NOT(ISNUMBER($D99)),NOT(ISNUMBER($E99)),AND($F99&lt;&gt;"",NOT(ISNUMBER($F99)))),"",MAX(0,$D99-$E99-$H99-IF($F99="",'Configurações'!$B$2,$F99))))</f>
        <v/>
      </c>
      <c r="J99" s="24">
        <f>IF($A99="","",IFERROR(SUMIFS('Conciliação'!$F$6:$F$305,'Conciliação'!$B$6:$B$305,$A99,'Conciliação'!$S$6:$S$305,"OK"),0))</f>
        <v/>
      </c>
      <c r="K99" s="24">
        <f>IF(OR($I99="",$J99=""),"",MAX(0,$J99-$I99))</f>
        <v/>
      </c>
      <c r="L99" s="25">
        <f>IF($A99="","",IF($C99="Inativo",IF($J99&gt;0,"INATIVO COM PUBLICAÇÃO","INATIVO"),IF($I99="","REVISAR DADOS",IF($K99&gt;0,"EXPOSIÇÃO ACIMA DO DISPONÍVEL",IF($I99=0,"SEM SALDO DISPONÍVEL",IF($G99="","SEM DATA",IF('Configurações'!$B$5-$G99&gt;'Configurações'!$B$4,"ATUALIZAÇÃO VENCIDA","OK")))))))</f>
        <v/>
      </c>
      <c r="M99" s="25">
        <f>IF(COUNTA($A99:$G99)=0,"",IF($A99="","SKU AUSENTE",IF(COUNTIF($A$6:$A$205,$A99)&gt;1,"SKU DUPLICADO",IF($B99="","PRODUTO AUSENTE",IF(AND($C99&lt;&gt;"Ativo",$C99&lt;&gt;"Inativo"),"STATUS INVÁLIDO",IF(IFERROR(OR(NOT(ISNUMBER($D99)),$D99&lt;0,MOD($D99,1)&lt;&gt;0),TRUE),"SALDO FÍSICO INVÁLIDO",IF(IFERROR(OR(NOT(ISNUMBER($E99)),$E99&lt;0,MOD($E99,1)&lt;&gt;0),TRUE),"RESERVAS INVÁLIDAS",IF(AND($F99&lt;&gt;"",IFERROR(OR(NOT(ISNUMBER($F99)),$F99&lt;0,MOD($F99,1)&lt;&gt;0),TRUE)),"ESTOQUE DE SEGURANÇA INVÁLIDO",IF(IFERROR(OR(NOT(ISNUMBER($G99)),$G99&gt;'Configurações'!$B$5),TRUE),"DATA INVÁLIDA",IF($E99&gt;$D99,"RESERVAS MAIORES QUE O SALDO","OK"))))))))))</f>
        <v/>
      </c>
    </row>
    <row r="100">
      <c r="A100" s="21" t="n"/>
      <c r="B100" s="21" t="n"/>
      <c r="C100" s="21" t="n"/>
      <c r="D100" s="22" t="n"/>
      <c r="E100" s="22" t="n"/>
      <c r="F100" s="22" t="n"/>
      <c r="G100" s="23" t="n"/>
      <c r="H100" s="24">
        <f>IF($A100="","",IFERROR(SUMIFS('Conciliação'!$G$6:$G$305,'Conciliação'!$B$6:$B$305,$A100,'Conciliação'!$S$6:$S$305,"OK"),0))</f>
        <v/>
      </c>
      <c r="I100" s="24">
        <f>IF($A100="","",IF(OR(NOT(ISNUMBER($D100)),NOT(ISNUMBER($E100)),AND($F100&lt;&gt;"",NOT(ISNUMBER($F100)))),"",MAX(0,$D100-$E100-$H100-IF($F100="",'Configurações'!$B$2,$F100))))</f>
        <v/>
      </c>
      <c r="J100" s="24">
        <f>IF($A100="","",IFERROR(SUMIFS('Conciliação'!$F$6:$F$305,'Conciliação'!$B$6:$B$305,$A100,'Conciliação'!$S$6:$S$305,"OK"),0))</f>
        <v/>
      </c>
      <c r="K100" s="24">
        <f>IF(OR($I100="",$J100=""),"",MAX(0,$J100-$I100))</f>
        <v/>
      </c>
      <c r="L100" s="25">
        <f>IF($A100="","",IF($C100="Inativo",IF($J100&gt;0,"INATIVO COM PUBLICAÇÃO","INATIVO"),IF($I100="","REVISAR DADOS",IF($K100&gt;0,"EXPOSIÇÃO ACIMA DO DISPONÍVEL",IF($I100=0,"SEM SALDO DISPONÍVEL",IF($G100="","SEM DATA",IF('Configurações'!$B$5-$G100&gt;'Configurações'!$B$4,"ATUALIZAÇÃO VENCIDA","OK")))))))</f>
        <v/>
      </c>
      <c r="M100" s="25">
        <f>IF(COUNTA($A100:$G100)=0,"",IF($A100="","SKU AUSENTE",IF(COUNTIF($A$6:$A$205,$A100)&gt;1,"SKU DUPLICADO",IF($B100="","PRODUTO AUSENTE",IF(AND($C100&lt;&gt;"Ativo",$C100&lt;&gt;"Inativo"),"STATUS INVÁLIDO",IF(IFERROR(OR(NOT(ISNUMBER($D100)),$D100&lt;0,MOD($D100,1)&lt;&gt;0),TRUE),"SALDO FÍSICO INVÁLIDO",IF(IFERROR(OR(NOT(ISNUMBER($E100)),$E100&lt;0,MOD($E100,1)&lt;&gt;0),TRUE),"RESERVAS INVÁLIDAS",IF(AND($F100&lt;&gt;"",IFERROR(OR(NOT(ISNUMBER($F100)),$F100&lt;0,MOD($F100,1)&lt;&gt;0),TRUE)),"ESTOQUE DE SEGURANÇA INVÁLIDO",IF(IFERROR(OR(NOT(ISNUMBER($G100)),$G100&gt;'Configurações'!$B$5),TRUE),"DATA INVÁLIDA",IF($E100&gt;$D100,"RESERVAS MAIORES QUE O SALDO","OK"))))))))))</f>
        <v/>
      </c>
    </row>
    <row r="101">
      <c r="A101" s="21" t="n"/>
      <c r="B101" s="21" t="n"/>
      <c r="C101" s="21" t="n"/>
      <c r="D101" s="22" t="n"/>
      <c r="E101" s="22" t="n"/>
      <c r="F101" s="22" t="n"/>
      <c r="G101" s="23" t="n"/>
      <c r="H101" s="24">
        <f>IF($A101="","",IFERROR(SUMIFS('Conciliação'!$G$6:$G$305,'Conciliação'!$B$6:$B$305,$A101,'Conciliação'!$S$6:$S$305,"OK"),0))</f>
        <v/>
      </c>
      <c r="I101" s="24">
        <f>IF($A101="","",IF(OR(NOT(ISNUMBER($D101)),NOT(ISNUMBER($E101)),AND($F101&lt;&gt;"",NOT(ISNUMBER($F101)))),"",MAX(0,$D101-$E101-$H101-IF($F101="",'Configurações'!$B$2,$F101))))</f>
        <v/>
      </c>
      <c r="J101" s="24">
        <f>IF($A101="","",IFERROR(SUMIFS('Conciliação'!$F$6:$F$305,'Conciliação'!$B$6:$B$305,$A101,'Conciliação'!$S$6:$S$305,"OK"),0))</f>
        <v/>
      </c>
      <c r="K101" s="24">
        <f>IF(OR($I101="",$J101=""),"",MAX(0,$J101-$I101))</f>
        <v/>
      </c>
      <c r="L101" s="25">
        <f>IF($A101="","",IF($C101="Inativo",IF($J101&gt;0,"INATIVO COM PUBLICAÇÃO","INATIVO"),IF($I101="","REVISAR DADOS",IF($K101&gt;0,"EXPOSIÇÃO ACIMA DO DISPONÍVEL",IF($I101=0,"SEM SALDO DISPONÍVEL",IF($G101="","SEM DATA",IF('Configurações'!$B$5-$G101&gt;'Configurações'!$B$4,"ATUALIZAÇÃO VENCIDA","OK")))))))</f>
        <v/>
      </c>
      <c r="M101" s="25">
        <f>IF(COUNTA($A101:$G101)=0,"",IF($A101="","SKU AUSENTE",IF(COUNTIF($A$6:$A$205,$A101)&gt;1,"SKU DUPLICADO",IF($B101="","PRODUTO AUSENTE",IF(AND($C101&lt;&gt;"Ativo",$C101&lt;&gt;"Inativo"),"STATUS INVÁLIDO",IF(IFERROR(OR(NOT(ISNUMBER($D101)),$D101&lt;0,MOD($D101,1)&lt;&gt;0),TRUE),"SALDO FÍSICO INVÁLIDO",IF(IFERROR(OR(NOT(ISNUMBER($E101)),$E101&lt;0,MOD($E101,1)&lt;&gt;0),TRUE),"RESERVAS INVÁLIDAS",IF(AND($F101&lt;&gt;"",IFERROR(OR(NOT(ISNUMBER($F101)),$F101&lt;0,MOD($F101,1)&lt;&gt;0),TRUE)),"ESTOQUE DE SEGURANÇA INVÁLIDO",IF(IFERROR(OR(NOT(ISNUMBER($G101)),$G101&gt;'Configurações'!$B$5),TRUE),"DATA INVÁLIDA",IF($E101&gt;$D101,"RESERVAS MAIORES QUE O SALDO","OK"))))))))))</f>
        <v/>
      </c>
    </row>
    <row r="102">
      <c r="A102" s="21" t="n"/>
      <c r="B102" s="21" t="n"/>
      <c r="C102" s="21" t="n"/>
      <c r="D102" s="22" t="n"/>
      <c r="E102" s="22" t="n"/>
      <c r="F102" s="22" t="n"/>
      <c r="G102" s="23" t="n"/>
      <c r="H102" s="24">
        <f>IF($A102="","",IFERROR(SUMIFS('Conciliação'!$G$6:$G$305,'Conciliação'!$B$6:$B$305,$A102,'Conciliação'!$S$6:$S$305,"OK"),0))</f>
        <v/>
      </c>
      <c r="I102" s="24">
        <f>IF($A102="","",IF(OR(NOT(ISNUMBER($D102)),NOT(ISNUMBER($E102)),AND($F102&lt;&gt;"",NOT(ISNUMBER($F102)))),"",MAX(0,$D102-$E102-$H102-IF($F102="",'Configurações'!$B$2,$F102))))</f>
        <v/>
      </c>
      <c r="J102" s="24">
        <f>IF($A102="","",IFERROR(SUMIFS('Conciliação'!$F$6:$F$305,'Conciliação'!$B$6:$B$305,$A102,'Conciliação'!$S$6:$S$305,"OK"),0))</f>
        <v/>
      </c>
      <c r="K102" s="24">
        <f>IF(OR($I102="",$J102=""),"",MAX(0,$J102-$I102))</f>
        <v/>
      </c>
      <c r="L102" s="25">
        <f>IF($A102="","",IF($C102="Inativo",IF($J102&gt;0,"INATIVO COM PUBLICAÇÃO","INATIVO"),IF($I102="","REVISAR DADOS",IF($K102&gt;0,"EXPOSIÇÃO ACIMA DO DISPONÍVEL",IF($I102=0,"SEM SALDO DISPONÍVEL",IF($G102="","SEM DATA",IF('Configurações'!$B$5-$G102&gt;'Configurações'!$B$4,"ATUALIZAÇÃO VENCIDA","OK")))))))</f>
        <v/>
      </c>
      <c r="M102" s="25">
        <f>IF(COUNTA($A102:$G102)=0,"",IF($A102="","SKU AUSENTE",IF(COUNTIF($A$6:$A$205,$A102)&gt;1,"SKU DUPLICADO",IF($B102="","PRODUTO AUSENTE",IF(AND($C102&lt;&gt;"Ativo",$C102&lt;&gt;"Inativo"),"STATUS INVÁLIDO",IF(IFERROR(OR(NOT(ISNUMBER($D102)),$D102&lt;0,MOD($D102,1)&lt;&gt;0),TRUE),"SALDO FÍSICO INVÁLIDO",IF(IFERROR(OR(NOT(ISNUMBER($E102)),$E102&lt;0,MOD($E102,1)&lt;&gt;0),TRUE),"RESERVAS INVÁLIDAS",IF(AND($F102&lt;&gt;"",IFERROR(OR(NOT(ISNUMBER($F102)),$F102&lt;0,MOD($F102,1)&lt;&gt;0),TRUE)),"ESTOQUE DE SEGURANÇA INVÁLIDO",IF(IFERROR(OR(NOT(ISNUMBER($G102)),$G102&gt;'Configurações'!$B$5),TRUE),"DATA INVÁLIDA",IF($E102&gt;$D102,"RESERVAS MAIORES QUE O SALDO","OK"))))))))))</f>
        <v/>
      </c>
    </row>
    <row r="103">
      <c r="A103" s="21" t="n"/>
      <c r="B103" s="21" t="n"/>
      <c r="C103" s="21" t="n"/>
      <c r="D103" s="22" t="n"/>
      <c r="E103" s="22" t="n"/>
      <c r="F103" s="22" t="n"/>
      <c r="G103" s="23" t="n"/>
      <c r="H103" s="24">
        <f>IF($A103="","",IFERROR(SUMIFS('Conciliação'!$G$6:$G$305,'Conciliação'!$B$6:$B$305,$A103,'Conciliação'!$S$6:$S$305,"OK"),0))</f>
        <v/>
      </c>
      <c r="I103" s="24">
        <f>IF($A103="","",IF(OR(NOT(ISNUMBER($D103)),NOT(ISNUMBER($E103)),AND($F103&lt;&gt;"",NOT(ISNUMBER($F103)))),"",MAX(0,$D103-$E103-$H103-IF($F103="",'Configurações'!$B$2,$F103))))</f>
        <v/>
      </c>
      <c r="J103" s="24">
        <f>IF($A103="","",IFERROR(SUMIFS('Conciliação'!$F$6:$F$305,'Conciliação'!$B$6:$B$305,$A103,'Conciliação'!$S$6:$S$305,"OK"),0))</f>
        <v/>
      </c>
      <c r="K103" s="24">
        <f>IF(OR($I103="",$J103=""),"",MAX(0,$J103-$I103))</f>
        <v/>
      </c>
      <c r="L103" s="25">
        <f>IF($A103="","",IF($C103="Inativo",IF($J103&gt;0,"INATIVO COM PUBLICAÇÃO","INATIVO"),IF($I103="","REVISAR DADOS",IF($K103&gt;0,"EXPOSIÇÃO ACIMA DO DISPONÍVEL",IF($I103=0,"SEM SALDO DISPONÍVEL",IF($G103="","SEM DATA",IF('Configurações'!$B$5-$G103&gt;'Configurações'!$B$4,"ATUALIZAÇÃO VENCIDA","OK")))))))</f>
        <v/>
      </c>
      <c r="M103" s="25">
        <f>IF(COUNTA($A103:$G103)=0,"",IF($A103="","SKU AUSENTE",IF(COUNTIF($A$6:$A$205,$A103)&gt;1,"SKU DUPLICADO",IF($B103="","PRODUTO AUSENTE",IF(AND($C103&lt;&gt;"Ativo",$C103&lt;&gt;"Inativo"),"STATUS INVÁLIDO",IF(IFERROR(OR(NOT(ISNUMBER($D103)),$D103&lt;0,MOD($D103,1)&lt;&gt;0),TRUE),"SALDO FÍSICO INVÁLIDO",IF(IFERROR(OR(NOT(ISNUMBER($E103)),$E103&lt;0,MOD($E103,1)&lt;&gt;0),TRUE),"RESERVAS INVÁLIDAS",IF(AND($F103&lt;&gt;"",IFERROR(OR(NOT(ISNUMBER($F103)),$F103&lt;0,MOD($F103,1)&lt;&gt;0),TRUE)),"ESTOQUE DE SEGURANÇA INVÁLIDO",IF(IFERROR(OR(NOT(ISNUMBER($G103)),$G103&gt;'Configurações'!$B$5),TRUE),"DATA INVÁLIDA",IF($E103&gt;$D103,"RESERVAS MAIORES QUE O SALDO","OK"))))))))))</f>
        <v/>
      </c>
    </row>
    <row r="104">
      <c r="A104" s="21" t="n"/>
      <c r="B104" s="21" t="n"/>
      <c r="C104" s="21" t="n"/>
      <c r="D104" s="22" t="n"/>
      <c r="E104" s="22" t="n"/>
      <c r="F104" s="22" t="n"/>
      <c r="G104" s="23" t="n"/>
      <c r="H104" s="24">
        <f>IF($A104="","",IFERROR(SUMIFS('Conciliação'!$G$6:$G$305,'Conciliação'!$B$6:$B$305,$A104,'Conciliação'!$S$6:$S$305,"OK"),0))</f>
        <v/>
      </c>
      <c r="I104" s="24">
        <f>IF($A104="","",IF(OR(NOT(ISNUMBER($D104)),NOT(ISNUMBER($E104)),AND($F104&lt;&gt;"",NOT(ISNUMBER($F104)))),"",MAX(0,$D104-$E104-$H104-IF($F104="",'Configurações'!$B$2,$F104))))</f>
        <v/>
      </c>
      <c r="J104" s="24">
        <f>IF($A104="","",IFERROR(SUMIFS('Conciliação'!$F$6:$F$305,'Conciliação'!$B$6:$B$305,$A104,'Conciliação'!$S$6:$S$305,"OK"),0))</f>
        <v/>
      </c>
      <c r="K104" s="24">
        <f>IF(OR($I104="",$J104=""),"",MAX(0,$J104-$I104))</f>
        <v/>
      </c>
      <c r="L104" s="25">
        <f>IF($A104="","",IF($C104="Inativo",IF($J104&gt;0,"INATIVO COM PUBLICAÇÃO","INATIVO"),IF($I104="","REVISAR DADOS",IF($K104&gt;0,"EXPOSIÇÃO ACIMA DO DISPONÍVEL",IF($I104=0,"SEM SALDO DISPONÍVEL",IF($G104="","SEM DATA",IF('Configurações'!$B$5-$G104&gt;'Configurações'!$B$4,"ATUALIZAÇÃO VENCIDA","OK")))))))</f>
        <v/>
      </c>
      <c r="M104" s="25">
        <f>IF(COUNTA($A104:$G104)=0,"",IF($A104="","SKU AUSENTE",IF(COUNTIF($A$6:$A$205,$A104)&gt;1,"SKU DUPLICADO",IF($B104="","PRODUTO AUSENTE",IF(AND($C104&lt;&gt;"Ativo",$C104&lt;&gt;"Inativo"),"STATUS INVÁLIDO",IF(IFERROR(OR(NOT(ISNUMBER($D104)),$D104&lt;0,MOD($D104,1)&lt;&gt;0),TRUE),"SALDO FÍSICO INVÁLIDO",IF(IFERROR(OR(NOT(ISNUMBER($E104)),$E104&lt;0,MOD($E104,1)&lt;&gt;0),TRUE),"RESERVAS INVÁLIDAS",IF(AND($F104&lt;&gt;"",IFERROR(OR(NOT(ISNUMBER($F104)),$F104&lt;0,MOD($F104,1)&lt;&gt;0),TRUE)),"ESTOQUE DE SEGURANÇA INVÁLIDO",IF(IFERROR(OR(NOT(ISNUMBER($G104)),$G104&gt;'Configurações'!$B$5),TRUE),"DATA INVÁLIDA",IF($E104&gt;$D104,"RESERVAS MAIORES QUE O SALDO","OK"))))))))))</f>
        <v/>
      </c>
    </row>
    <row r="105">
      <c r="A105" s="21" t="n"/>
      <c r="B105" s="21" t="n"/>
      <c r="C105" s="21" t="n"/>
      <c r="D105" s="22" t="n"/>
      <c r="E105" s="22" t="n"/>
      <c r="F105" s="22" t="n"/>
      <c r="G105" s="23" t="n"/>
      <c r="H105" s="24">
        <f>IF($A105="","",IFERROR(SUMIFS('Conciliação'!$G$6:$G$305,'Conciliação'!$B$6:$B$305,$A105,'Conciliação'!$S$6:$S$305,"OK"),0))</f>
        <v/>
      </c>
      <c r="I105" s="24">
        <f>IF($A105="","",IF(OR(NOT(ISNUMBER($D105)),NOT(ISNUMBER($E105)),AND($F105&lt;&gt;"",NOT(ISNUMBER($F105)))),"",MAX(0,$D105-$E105-$H105-IF($F105="",'Configurações'!$B$2,$F105))))</f>
        <v/>
      </c>
      <c r="J105" s="24">
        <f>IF($A105="","",IFERROR(SUMIFS('Conciliação'!$F$6:$F$305,'Conciliação'!$B$6:$B$305,$A105,'Conciliação'!$S$6:$S$305,"OK"),0))</f>
        <v/>
      </c>
      <c r="K105" s="24">
        <f>IF(OR($I105="",$J105=""),"",MAX(0,$J105-$I105))</f>
        <v/>
      </c>
      <c r="L105" s="25">
        <f>IF($A105="","",IF($C105="Inativo",IF($J105&gt;0,"INATIVO COM PUBLICAÇÃO","INATIVO"),IF($I105="","REVISAR DADOS",IF($K105&gt;0,"EXPOSIÇÃO ACIMA DO DISPONÍVEL",IF($I105=0,"SEM SALDO DISPONÍVEL",IF($G105="","SEM DATA",IF('Configurações'!$B$5-$G105&gt;'Configurações'!$B$4,"ATUALIZAÇÃO VENCIDA","OK")))))))</f>
        <v/>
      </c>
      <c r="M105" s="25">
        <f>IF(COUNTA($A105:$G105)=0,"",IF($A105="","SKU AUSENTE",IF(COUNTIF($A$6:$A$205,$A105)&gt;1,"SKU DUPLICADO",IF($B105="","PRODUTO AUSENTE",IF(AND($C105&lt;&gt;"Ativo",$C105&lt;&gt;"Inativo"),"STATUS INVÁLIDO",IF(IFERROR(OR(NOT(ISNUMBER($D105)),$D105&lt;0,MOD($D105,1)&lt;&gt;0),TRUE),"SALDO FÍSICO INVÁLIDO",IF(IFERROR(OR(NOT(ISNUMBER($E105)),$E105&lt;0,MOD($E105,1)&lt;&gt;0),TRUE),"RESERVAS INVÁLIDAS",IF(AND($F105&lt;&gt;"",IFERROR(OR(NOT(ISNUMBER($F105)),$F105&lt;0,MOD($F105,1)&lt;&gt;0),TRUE)),"ESTOQUE DE SEGURANÇA INVÁLIDO",IF(IFERROR(OR(NOT(ISNUMBER($G105)),$G105&gt;'Configurações'!$B$5),TRUE),"DATA INVÁLIDA",IF($E105&gt;$D105,"RESERVAS MAIORES QUE O SALDO","OK"))))))))))</f>
        <v/>
      </c>
    </row>
    <row r="106">
      <c r="A106" s="21" t="n"/>
      <c r="B106" s="21" t="n"/>
      <c r="C106" s="21" t="n"/>
      <c r="D106" s="22" t="n"/>
      <c r="E106" s="22" t="n"/>
      <c r="F106" s="22" t="n"/>
      <c r="G106" s="23" t="n"/>
      <c r="H106" s="24">
        <f>IF($A106="","",IFERROR(SUMIFS('Conciliação'!$G$6:$G$305,'Conciliação'!$B$6:$B$305,$A106,'Conciliação'!$S$6:$S$305,"OK"),0))</f>
        <v/>
      </c>
      <c r="I106" s="24">
        <f>IF($A106="","",IF(OR(NOT(ISNUMBER($D106)),NOT(ISNUMBER($E106)),AND($F106&lt;&gt;"",NOT(ISNUMBER($F106)))),"",MAX(0,$D106-$E106-$H106-IF($F106="",'Configurações'!$B$2,$F106))))</f>
        <v/>
      </c>
      <c r="J106" s="24">
        <f>IF($A106="","",IFERROR(SUMIFS('Conciliação'!$F$6:$F$305,'Conciliação'!$B$6:$B$305,$A106,'Conciliação'!$S$6:$S$305,"OK"),0))</f>
        <v/>
      </c>
      <c r="K106" s="24">
        <f>IF(OR($I106="",$J106=""),"",MAX(0,$J106-$I106))</f>
        <v/>
      </c>
      <c r="L106" s="25">
        <f>IF($A106="","",IF($C106="Inativo",IF($J106&gt;0,"INATIVO COM PUBLICAÇÃO","INATIVO"),IF($I106="","REVISAR DADOS",IF($K106&gt;0,"EXPOSIÇÃO ACIMA DO DISPONÍVEL",IF($I106=0,"SEM SALDO DISPONÍVEL",IF($G106="","SEM DATA",IF('Configurações'!$B$5-$G106&gt;'Configurações'!$B$4,"ATUALIZAÇÃO VENCIDA","OK")))))))</f>
        <v/>
      </c>
      <c r="M106" s="25">
        <f>IF(COUNTA($A106:$G106)=0,"",IF($A106="","SKU AUSENTE",IF(COUNTIF($A$6:$A$205,$A106)&gt;1,"SKU DUPLICADO",IF($B106="","PRODUTO AUSENTE",IF(AND($C106&lt;&gt;"Ativo",$C106&lt;&gt;"Inativo"),"STATUS INVÁLIDO",IF(IFERROR(OR(NOT(ISNUMBER($D106)),$D106&lt;0,MOD($D106,1)&lt;&gt;0),TRUE),"SALDO FÍSICO INVÁLIDO",IF(IFERROR(OR(NOT(ISNUMBER($E106)),$E106&lt;0,MOD($E106,1)&lt;&gt;0),TRUE),"RESERVAS INVÁLIDAS",IF(AND($F106&lt;&gt;"",IFERROR(OR(NOT(ISNUMBER($F106)),$F106&lt;0,MOD($F106,1)&lt;&gt;0),TRUE)),"ESTOQUE DE SEGURANÇA INVÁLIDO",IF(IFERROR(OR(NOT(ISNUMBER($G106)),$G106&gt;'Configurações'!$B$5),TRUE),"DATA INVÁLIDA",IF($E106&gt;$D106,"RESERVAS MAIORES QUE O SALDO","OK"))))))))))</f>
        <v/>
      </c>
    </row>
    <row r="107">
      <c r="A107" s="21" t="n"/>
      <c r="B107" s="21" t="n"/>
      <c r="C107" s="21" t="n"/>
      <c r="D107" s="22" t="n"/>
      <c r="E107" s="22" t="n"/>
      <c r="F107" s="22" t="n"/>
      <c r="G107" s="23" t="n"/>
      <c r="H107" s="24">
        <f>IF($A107="","",IFERROR(SUMIFS('Conciliação'!$G$6:$G$305,'Conciliação'!$B$6:$B$305,$A107,'Conciliação'!$S$6:$S$305,"OK"),0))</f>
        <v/>
      </c>
      <c r="I107" s="24">
        <f>IF($A107="","",IF(OR(NOT(ISNUMBER($D107)),NOT(ISNUMBER($E107)),AND($F107&lt;&gt;"",NOT(ISNUMBER($F107)))),"",MAX(0,$D107-$E107-$H107-IF($F107="",'Configurações'!$B$2,$F107))))</f>
        <v/>
      </c>
      <c r="J107" s="24">
        <f>IF($A107="","",IFERROR(SUMIFS('Conciliação'!$F$6:$F$305,'Conciliação'!$B$6:$B$305,$A107,'Conciliação'!$S$6:$S$305,"OK"),0))</f>
        <v/>
      </c>
      <c r="K107" s="24">
        <f>IF(OR($I107="",$J107=""),"",MAX(0,$J107-$I107))</f>
        <v/>
      </c>
      <c r="L107" s="25">
        <f>IF($A107="","",IF($C107="Inativo",IF($J107&gt;0,"INATIVO COM PUBLICAÇÃO","INATIVO"),IF($I107="","REVISAR DADOS",IF($K107&gt;0,"EXPOSIÇÃO ACIMA DO DISPONÍVEL",IF($I107=0,"SEM SALDO DISPONÍVEL",IF($G107="","SEM DATA",IF('Configurações'!$B$5-$G107&gt;'Configurações'!$B$4,"ATUALIZAÇÃO VENCIDA","OK")))))))</f>
        <v/>
      </c>
      <c r="M107" s="25">
        <f>IF(COUNTA($A107:$G107)=0,"",IF($A107="","SKU AUSENTE",IF(COUNTIF($A$6:$A$205,$A107)&gt;1,"SKU DUPLICADO",IF($B107="","PRODUTO AUSENTE",IF(AND($C107&lt;&gt;"Ativo",$C107&lt;&gt;"Inativo"),"STATUS INVÁLIDO",IF(IFERROR(OR(NOT(ISNUMBER($D107)),$D107&lt;0,MOD($D107,1)&lt;&gt;0),TRUE),"SALDO FÍSICO INVÁLIDO",IF(IFERROR(OR(NOT(ISNUMBER($E107)),$E107&lt;0,MOD($E107,1)&lt;&gt;0),TRUE),"RESERVAS INVÁLIDAS",IF(AND($F107&lt;&gt;"",IFERROR(OR(NOT(ISNUMBER($F107)),$F107&lt;0,MOD($F107,1)&lt;&gt;0),TRUE)),"ESTOQUE DE SEGURANÇA INVÁLIDO",IF(IFERROR(OR(NOT(ISNUMBER($G107)),$G107&gt;'Configurações'!$B$5),TRUE),"DATA INVÁLIDA",IF($E107&gt;$D107,"RESERVAS MAIORES QUE O SALDO","OK"))))))))))</f>
        <v/>
      </c>
    </row>
    <row r="108">
      <c r="A108" s="21" t="n"/>
      <c r="B108" s="21" t="n"/>
      <c r="C108" s="21" t="n"/>
      <c r="D108" s="22" t="n"/>
      <c r="E108" s="22" t="n"/>
      <c r="F108" s="22" t="n"/>
      <c r="G108" s="23" t="n"/>
      <c r="H108" s="24">
        <f>IF($A108="","",IFERROR(SUMIFS('Conciliação'!$G$6:$G$305,'Conciliação'!$B$6:$B$305,$A108,'Conciliação'!$S$6:$S$305,"OK"),0))</f>
        <v/>
      </c>
      <c r="I108" s="24">
        <f>IF($A108="","",IF(OR(NOT(ISNUMBER($D108)),NOT(ISNUMBER($E108)),AND($F108&lt;&gt;"",NOT(ISNUMBER($F108)))),"",MAX(0,$D108-$E108-$H108-IF($F108="",'Configurações'!$B$2,$F108))))</f>
        <v/>
      </c>
      <c r="J108" s="24">
        <f>IF($A108="","",IFERROR(SUMIFS('Conciliação'!$F$6:$F$305,'Conciliação'!$B$6:$B$305,$A108,'Conciliação'!$S$6:$S$305,"OK"),0))</f>
        <v/>
      </c>
      <c r="K108" s="24">
        <f>IF(OR($I108="",$J108=""),"",MAX(0,$J108-$I108))</f>
        <v/>
      </c>
      <c r="L108" s="25">
        <f>IF($A108="","",IF($C108="Inativo",IF($J108&gt;0,"INATIVO COM PUBLICAÇÃO","INATIVO"),IF($I108="","REVISAR DADOS",IF($K108&gt;0,"EXPOSIÇÃO ACIMA DO DISPONÍVEL",IF($I108=0,"SEM SALDO DISPONÍVEL",IF($G108="","SEM DATA",IF('Configurações'!$B$5-$G108&gt;'Configurações'!$B$4,"ATUALIZAÇÃO VENCIDA","OK")))))))</f>
        <v/>
      </c>
      <c r="M108" s="25">
        <f>IF(COUNTA($A108:$G108)=0,"",IF($A108="","SKU AUSENTE",IF(COUNTIF($A$6:$A$205,$A108)&gt;1,"SKU DUPLICADO",IF($B108="","PRODUTO AUSENTE",IF(AND($C108&lt;&gt;"Ativo",$C108&lt;&gt;"Inativo"),"STATUS INVÁLIDO",IF(IFERROR(OR(NOT(ISNUMBER($D108)),$D108&lt;0,MOD($D108,1)&lt;&gt;0),TRUE),"SALDO FÍSICO INVÁLIDO",IF(IFERROR(OR(NOT(ISNUMBER($E108)),$E108&lt;0,MOD($E108,1)&lt;&gt;0),TRUE),"RESERVAS INVÁLIDAS",IF(AND($F108&lt;&gt;"",IFERROR(OR(NOT(ISNUMBER($F108)),$F108&lt;0,MOD($F108,1)&lt;&gt;0),TRUE)),"ESTOQUE DE SEGURANÇA INVÁLIDO",IF(IFERROR(OR(NOT(ISNUMBER($G108)),$G108&gt;'Configurações'!$B$5),TRUE),"DATA INVÁLIDA",IF($E108&gt;$D108,"RESERVAS MAIORES QUE O SALDO","OK"))))))))))</f>
        <v/>
      </c>
    </row>
    <row r="109">
      <c r="A109" s="21" t="n"/>
      <c r="B109" s="21" t="n"/>
      <c r="C109" s="21" t="n"/>
      <c r="D109" s="22" t="n"/>
      <c r="E109" s="22" t="n"/>
      <c r="F109" s="22" t="n"/>
      <c r="G109" s="23" t="n"/>
      <c r="H109" s="24">
        <f>IF($A109="","",IFERROR(SUMIFS('Conciliação'!$G$6:$G$305,'Conciliação'!$B$6:$B$305,$A109,'Conciliação'!$S$6:$S$305,"OK"),0))</f>
        <v/>
      </c>
      <c r="I109" s="24">
        <f>IF($A109="","",IF(OR(NOT(ISNUMBER($D109)),NOT(ISNUMBER($E109)),AND($F109&lt;&gt;"",NOT(ISNUMBER($F109)))),"",MAX(0,$D109-$E109-$H109-IF($F109="",'Configurações'!$B$2,$F109))))</f>
        <v/>
      </c>
      <c r="J109" s="24">
        <f>IF($A109="","",IFERROR(SUMIFS('Conciliação'!$F$6:$F$305,'Conciliação'!$B$6:$B$305,$A109,'Conciliação'!$S$6:$S$305,"OK"),0))</f>
        <v/>
      </c>
      <c r="K109" s="24">
        <f>IF(OR($I109="",$J109=""),"",MAX(0,$J109-$I109))</f>
        <v/>
      </c>
      <c r="L109" s="25">
        <f>IF($A109="","",IF($C109="Inativo",IF($J109&gt;0,"INATIVO COM PUBLICAÇÃO","INATIVO"),IF($I109="","REVISAR DADOS",IF($K109&gt;0,"EXPOSIÇÃO ACIMA DO DISPONÍVEL",IF($I109=0,"SEM SALDO DISPONÍVEL",IF($G109="","SEM DATA",IF('Configurações'!$B$5-$G109&gt;'Configurações'!$B$4,"ATUALIZAÇÃO VENCIDA","OK")))))))</f>
        <v/>
      </c>
      <c r="M109" s="25">
        <f>IF(COUNTA($A109:$G109)=0,"",IF($A109="","SKU AUSENTE",IF(COUNTIF($A$6:$A$205,$A109)&gt;1,"SKU DUPLICADO",IF($B109="","PRODUTO AUSENTE",IF(AND($C109&lt;&gt;"Ativo",$C109&lt;&gt;"Inativo"),"STATUS INVÁLIDO",IF(IFERROR(OR(NOT(ISNUMBER($D109)),$D109&lt;0,MOD($D109,1)&lt;&gt;0),TRUE),"SALDO FÍSICO INVÁLIDO",IF(IFERROR(OR(NOT(ISNUMBER($E109)),$E109&lt;0,MOD($E109,1)&lt;&gt;0),TRUE),"RESERVAS INVÁLIDAS",IF(AND($F109&lt;&gt;"",IFERROR(OR(NOT(ISNUMBER($F109)),$F109&lt;0,MOD($F109,1)&lt;&gt;0),TRUE)),"ESTOQUE DE SEGURANÇA INVÁLIDO",IF(IFERROR(OR(NOT(ISNUMBER($G109)),$G109&gt;'Configurações'!$B$5),TRUE),"DATA INVÁLIDA",IF($E109&gt;$D109,"RESERVAS MAIORES QUE O SALDO","OK"))))))))))</f>
        <v/>
      </c>
    </row>
    <row r="110">
      <c r="A110" s="21" t="n"/>
      <c r="B110" s="21" t="n"/>
      <c r="C110" s="21" t="n"/>
      <c r="D110" s="22" t="n"/>
      <c r="E110" s="22" t="n"/>
      <c r="F110" s="22" t="n"/>
      <c r="G110" s="23" t="n"/>
      <c r="H110" s="24">
        <f>IF($A110="","",IFERROR(SUMIFS('Conciliação'!$G$6:$G$305,'Conciliação'!$B$6:$B$305,$A110,'Conciliação'!$S$6:$S$305,"OK"),0))</f>
        <v/>
      </c>
      <c r="I110" s="24">
        <f>IF($A110="","",IF(OR(NOT(ISNUMBER($D110)),NOT(ISNUMBER($E110)),AND($F110&lt;&gt;"",NOT(ISNUMBER($F110)))),"",MAX(0,$D110-$E110-$H110-IF($F110="",'Configurações'!$B$2,$F110))))</f>
        <v/>
      </c>
      <c r="J110" s="24">
        <f>IF($A110="","",IFERROR(SUMIFS('Conciliação'!$F$6:$F$305,'Conciliação'!$B$6:$B$305,$A110,'Conciliação'!$S$6:$S$305,"OK"),0))</f>
        <v/>
      </c>
      <c r="K110" s="24">
        <f>IF(OR($I110="",$J110=""),"",MAX(0,$J110-$I110))</f>
        <v/>
      </c>
      <c r="L110" s="25">
        <f>IF($A110="","",IF($C110="Inativo",IF($J110&gt;0,"INATIVO COM PUBLICAÇÃO","INATIVO"),IF($I110="","REVISAR DADOS",IF($K110&gt;0,"EXPOSIÇÃO ACIMA DO DISPONÍVEL",IF($I110=0,"SEM SALDO DISPONÍVEL",IF($G110="","SEM DATA",IF('Configurações'!$B$5-$G110&gt;'Configurações'!$B$4,"ATUALIZAÇÃO VENCIDA","OK")))))))</f>
        <v/>
      </c>
      <c r="M110" s="25">
        <f>IF(COUNTA($A110:$G110)=0,"",IF($A110="","SKU AUSENTE",IF(COUNTIF($A$6:$A$205,$A110)&gt;1,"SKU DUPLICADO",IF($B110="","PRODUTO AUSENTE",IF(AND($C110&lt;&gt;"Ativo",$C110&lt;&gt;"Inativo"),"STATUS INVÁLIDO",IF(IFERROR(OR(NOT(ISNUMBER($D110)),$D110&lt;0,MOD($D110,1)&lt;&gt;0),TRUE),"SALDO FÍSICO INVÁLIDO",IF(IFERROR(OR(NOT(ISNUMBER($E110)),$E110&lt;0,MOD($E110,1)&lt;&gt;0),TRUE),"RESERVAS INVÁLIDAS",IF(AND($F110&lt;&gt;"",IFERROR(OR(NOT(ISNUMBER($F110)),$F110&lt;0,MOD($F110,1)&lt;&gt;0),TRUE)),"ESTOQUE DE SEGURANÇA INVÁLIDO",IF(IFERROR(OR(NOT(ISNUMBER($G110)),$G110&gt;'Configurações'!$B$5),TRUE),"DATA INVÁLIDA",IF($E110&gt;$D110,"RESERVAS MAIORES QUE O SALDO","OK"))))))))))</f>
        <v/>
      </c>
    </row>
    <row r="111">
      <c r="A111" s="21" t="n"/>
      <c r="B111" s="21" t="n"/>
      <c r="C111" s="21" t="n"/>
      <c r="D111" s="22" t="n"/>
      <c r="E111" s="22" t="n"/>
      <c r="F111" s="22" t="n"/>
      <c r="G111" s="23" t="n"/>
      <c r="H111" s="24">
        <f>IF($A111="","",IFERROR(SUMIFS('Conciliação'!$G$6:$G$305,'Conciliação'!$B$6:$B$305,$A111,'Conciliação'!$S$6:$S$305,"OK"),0))</f>
        <v/>
      </c>
      <c r="I111" s="24">
        <f>IF($A111="","",IF(OR(NOT(ISNUMBER($D111)),NOT(ISNUMBER($E111)),AND($F111&lt;&gt;"",NOT(ISNUMBER($F111)))),"",MAX(0,$D111-$E111-$H111-IF($F111="",'Configurações'!$B$2,$F111))))</f>
        <v/>
      </c>
      <c r="J111" s="24">
        <f>IF($A111="","",IFERROR(SUMIFS('Conciliação'!$F$6:$F$305,'Conciliação'!$B$6:$B$305,$A111,'Conciliação'!$S$6:$S$305,"OK"),0))</f>
        <v/>
      </c>
      <c r="K111" s="24">
        <f>IF(OR($I111="",$J111=""),"",MAX(0,$J111-$I111))</f>
        <v/>
      </c>
      <c r="L111" s="25">
        <f>IF($A111="","",IF($C111="Inativo",IF($J111&gt;0,"INATIVO COM PUBLICAÇÃO","INATIVO"),IF($I111="","REVISAR DADOS",IF($K111&gt;0,"EXPOSIÇÃO ACIMA DO DISPONÍVEL",IF($I111=0,"SEM SALDO DISPONÍVEL",IF($G111="","SEM DATA",IF('Configurações'!$B$5-$G111&gt;'Configurações'!$B$4,"ATUALIZAÇÃO VENCIDA","OK")))))))</f>
        <v/>
      </c>
      <c r="M111" s="25">
        <f>IF(COUNTA($A111:$G111)=0,"",IF($A111="","SKU AUSENTE",IF(COUNTIF($A$6:$A$205,$A111)&gt;1,"SKU DUPLICADO",IF($B111="","PRODUTO AUSENTE",IF(AND($C111&lt;&gt;"Ativo",$C111&lt;&gt;"Inativo"),"STATUS INVÁLIDO",IF(IFERROR(OR(NOT(ISNUMBER($D111)),$D111&lt;0,MOD($D111,1)&lt;&gt;0),TRUE),"SALDO FÍSICO INVÁLIDO",IF(IFERROR(OR(NOT(ISNUMBER($E111)),$E111&lt;0,MOD($E111,1)&lt;&gt;0),TRUE),"RESERVAS INVÁLIDAS",IF(AND($F111&lt;&gt;"",IFERROR(OR(NOT(ISNUMBER($F111)),$F111&lt;0,MOD($F111,1)&lt;&gt;0),TRUE)),"ESTOQUE DE SEGURANÇA INVÁLIDO",IF(IFERROR(OR(NOT(ISNUMBER($G111)),$G111&gt;'Configurações'!$B$5),TRUE),"DATA INVÁLIDA",IF($E111&gt;$D111,"RESERVAS MAIORES QUE O SALDO","OK"))))))))))</f>
        <v/>
      </c>
    </row>
    <row r="112">
      <c r="A112" s="21" t="n"/>
      <c r="B112" s="21" t="n"/>
      <c r="C112" s="21" t="n"/>
      <c r="D112" s="22" t="n"/>
      <c r="E112" s="22" t="n"/>
      <c r="F112" s="22" t="n"/>
      <c r="G112" s="23" t="n"/>
      <c r="H112" s="24">
        <f>IF($A112="","",IFERROR(SUMIFS('Conciliação'!$G$6:$G$305,'Conciliação'!$B$6:$B$305,$A112,'Conciliação'!$S$6:$S$305,"OK"),0))</f>
        <v/>
      </c>
      <c r="I112" s="24">
        <f>IF($A112="","",IF(OR(NOT(ISNUMBER($D112)),NOT(ISNUMBER($E112)),AND($F112&lt;&gt;"",NOT(ISNUMBER($F112)))),"",MAX(0,$D112-$E112-$H112-IF($F112="",'Configurações'!$B$2,$F112))))</f>
        <v/>
      </c>
      <c r="J112" s="24">
        <f>IF($A112="","",IFERROR(SUMIFS('Conciliação'!$F$6:$F$305,'Conciliação'!$B$6:$B$305,$A112,'Conciliação'!$S$6:$S$305,"OK"),0))</f>
        <v/>
      </c>
      <c r="K112" s="24">
        <f>IF(OR($I112="",$J112=""),"",MAX(0,$J112-$I112))</f>
        <v/>
      </c>
      <c r="L112" s="25">
        <f>IF($A112="","",IF($C112="Inativo",IF($J112&gt;0,"INATIVO COM PUBLICAÇÃO","INATIVO"),IF($I112="","REVISAR DADOS",IF($K112&gt;0,"EXPOSIÇÃO ACIMA DO DISPONÍVEL",IF($I112=0,"SEM SALDO DISPONÍVEL",IF($G112="","SEM DATA",IF('Configurações'!$B$5-$G112&gt;'Configurações'!$B$4,"ATUALIZAÇÃO VENCIDA","OK")))))))</f>
        <v/>
      </c>
      <c r="M112" s="25">
        <f>IF(COUNTA($A112:$G112)=0,"",IF($A112="","SKU AUSENTE",IF(COUNTIF($A$6:$A$205,$A112)&gt;1,"SKU DUPLICADO",IF($B112="","PRODUTO AUSENTE",IF(AND($C112&lt;&gt;"Ativo",$C112&lt;&gt;"Inativo"),"STATUS INVÁLIDO",IF(IFERROR(OR(NOT(ISNUMBER($D112)),$D112&lt;0,MOD($D112,1)&lt;&gt;0),TRUE),"SALDO FÍSICO INVÁLIDO",IF(IFERROR(OR(NOT(ISNUMBER($E112)),$E112&lt;0,MOD($E112,1)&lt;&gt;0),TRUE),"RESERVAS INVÁLIDAS",IF(AND($F112&lt;&gt;"",IFERROR(OR(NOT(ISNUMBER($F112)),$F112&lt;0,MOD($F112,1)&lt;&gt;0),TRUE)),"ESTOQUE DE SEGURANÇA INVÁLIDO",IF(IFERROR(OR(NOT(ISNUMBER($G112)),$G112&gt;'Configurações'!$B$5),TRUE),"DATA INVÁLIDA",IF($E112&gt;$D112,"RESERVAS MAIORES QUE O SALDO","OK"))))))))))</f>
        <v/>
      </c>
    </row>
    <row r="113">
      <c r="A113" s="21" t="n"/>
      <c r="B113" s="21" t="n"/>
      <c r="C113" s="21" t="n"/>
      <c r="D113" s="22" t="n"/>
      <c r="E113" s="22" t="n"/>
      <c r="F113" s="22" t="n"/>
      <c r="G113" s="23" t="n"/>
      <c r="H113" s="24">
        <f>IF($A113="","",IFERROR(SUMIFS('Conciliação'!$G$6:$G$305,'Conciliação'!$B$6:$B$305,$A113,'Conciliação'!$S$6:$S$305,"OK"),0))</f>
        <v/>
      </c>
      <c r="I113" s="24">
        <f>IF($A113="","",IF(OR(NOT(ISNUMBER($D113)),NOT(ISNUMBER($E113)),AND($F113&lt;&gt;"",NOT(ISNUMBER($F113)))),"",MAX(0,$D113-$E113-$H113-IF($F113="",'Configurações'!$B$2,$F113))))</f>
        <v/>
      </c>
      <c r="J113" s="24">
        <f>IF($A113="","",IFERROR(SUMIFS('Conciliação'!$F$6:$F$305,'Conciliação'!$B$6:$B$305,$A113,'Conciliação'!$S$6:$S$305,"OK"),0))</f>
        <v/>
      </c>
      <c r="K113" s="24">
        <f>IF(OR($I113="",$J113=""),"",MAX(0,$J113-$I113))</f>
        <v/>
      </c>
      <c r="L113" s="25">
        <f>IF($A113="","",IF($C113="Inativo",IF($J113&gt;0,"INATIVO COM PUBLICAÇÃO","INATIVO"),IF($I113="","REVISAR DADOS",IF($K113&gt;0,"EXPOSIÇÃO ACIMA DO DISPONÍVEL",IF($I113=0,"SEM SALDO DISPONÍVEL",IF($G113="","SEM DATA",IF('Configurações'!$B$5-$G113&gt;'Configurações'!$B$4,"ATUALIZAÇÃO VENCIDA","OK")))))))</f>
        <v/>
      </c>
      <c r="M113" s="25">
        <f>IF(COUNTA($A113:$G113)=0,"",IF($A113="","SKU AUSENTE",IF(COUNTIF($A$6:$A$205,$A113)&gt;1,"SKU DUPLICADO",IF($B113="","PRODUTO AUSENTE",IF(AND($C113&lt;&gt;"Ativo",$C113&lt;&gt;"Inativo"),"STATUS INVÁLIDO",IF(IFERROR(OR(NOT(ISNUMBER($D113)),$D113&lt;0,MOD($D113,1)&lt;&gt;0),TRUE),"SALDO FÍSICO INVÁLIDO",IF(IFERROR(OR(NOT(ISNUMBER($E113)),$E113&lt;0,MOD($E113,1)&lt;&gt;0),TRUE),"RESERVAS INVÁLIDAS",IF(AND($F113&lt;&gt;"",IFERROR(OR(NOT(ISNUMBER($F113)),$F113&lt;0,MOD($F113,1)&lt;&gt;0),TRUE)),"ESTOQUE DE SEGURANÇA INVÁLIDO",IF(IFERROR(OR(NOT(ISNUMBER($G113)),$G113&gt;'Configurações'!$B$5),TRUE),"DATA INVÁLIDA",IF($E113&gt;$D113,"RESERVAS MAIORES QUE O SALDO","OK"))))))))))</f>
        <v/>
      </c>
    </row>
    <row r="114">
      <c r="A114" s="21" t="n"/>
      <c r="B114" s="21" t="n"/>
      <c r="C114" s="21" t="n"/>
      <c r="D114" s="22" t="n"/>
      <c r="E114" s="22" t="n"/>
      <c r="F114" s="22" t="n"/>
      <c r="G114" s="23" t="n"/>
      <c r="H114" s="24">
        <f>IF($A114="","",IFERROR(SUMIFS('Conciliação'!$G$6:$G$305,'Conciliação'!$B$6:$B$305,$A114,'Conciliação'!$S$6:$S$305,"OK"),0))</f>
        <v/>
      </c>
      <c r="I114" s="24">
        <f>IF($A114="","",IF(OR(NOT(ISNUMBER($D114)),NOT(ISNUMBER($E114)),AND($F114&lt;&gt;"",NOT(ISNUMBER($F114)))),"",MAX(0,$D114-$E114-$H114-IF($F114="",'Configurações'!$B$2,$F114))))</f>
        <v/>
      </c>
      <c r="J114" s="24">
        <f>IF($A114="","",IFERROR(SUMIFS('Conciliação'!$F$6:$F$305,'Conciliação'!$B$6:$B$305,$A114,'Conciliação'!$S$6:$S$305,"OK"),0))</f>
        <v/>
      </c>
      <c r="K114" s="24">
        <f>IF(OR($I114="",$J114=""),"",MAX(0,$J114-$I114))</f>
        <v/>
      </c>
      <c r="L114" s="25">
        <f>IF($A114="","",IF($C114="Inativo",IF($J114&gt;0,"INATIVO COM PUBLICAÇÃO","INATIVO"),IF($I114="","REVISAR DADOS",IF($K114&gt;0,"EXPOSIÇÃO ACIMA DO DISPONÍVEL",IF($I114=0,"SEM SALDO DISPONÍVEL",IF($G114="","SEM DATA",IF('Configurações'!$B$5-$G114&gt;'Configurações'!$B$4,"ATUALIZAÇÃO VENCIDA","OK")))))))</f>
        <v/>
      </c>
      <c r="M114" s="25">
        <f>IF(COUNTA($A114:$G114)=0,"",IF($A114="","SKU AUSENTE",IF(COUNTIF($A$6:$A$205,$A114)&gt;1,"SKU DUPLICADO",IF($B114="","PRODUTO AUSENTE",IF(AND($C114&lt;&gt;"Ativo",$C114&lt;&gt;"Inativo"),"STATUS INVÁLIDO",IF(IFERROR(OR(NOT(ISNUMBER($D114)),$D114&lt;0,MOD($D114,1)&lt;&gt;0),TRUE),"SALDO FÍSICO INVÁLIDO",IF(IFERROR(OR(NOT(ISNUMBER($E114)),$E114&lt;0,MOD($E114,1)&lt;&gt;0),TRUE),"RESERVAS INVÁLIDAS",IF(AND($F114&lt;&gt;"",IFERROR(OR(NOT(ISNUMBER($F114)),$F114&lt;0,MOD($F114,1)&lt;&gt;0),TRUE)),"ESTOQUE DE SEGURANÇA INVÁLIDO",IF(IFERROR(OR(NOT(ISNUMBER($G114)),$G114&gt;'Configurações'!$B$5),TRUE),"DATA INVÁLIDA",IF($E114&gt;$D114,"RESERVAS MAIORES QUE O SALDO","OK"))))))))))</f>
        <v/>
      </c>
    </row>
    <row r="115">
      <c r="A115" s="21" t="n"/>
      <c r="B115" s="21" t="n"/>
      <c r="C115" s="21" t="n"/>
      <c r="D115" s="22" t="n"/>
      <c r="E115" s="22" t="n"/>
      <c r="F115" s="22" t="n"/>
      <c r="G115" s="23" t="n"/>
      <c r="H115" s="24">
        <f>IF($A115="","",IFERROR(SUMIFS('Conciliação'!$G$6:$G$305,'Conciliação'!$B$6:$B$305,$A115,'Conciliação'!$S$6:$S$305,"OK"),0))</f>
        <v/>
      </c>
      <c r="I115" s="24">
        <f>IF($A115="","",IF(OR(NOT(ISNUMBER($D115)),NOT(ISNUMBER($E115)),AND($F115&lt;&gt;"",NOT(ISNUMBER($F115)))),"",MAX(0,$D115-$E115-$H115-IF($F115="",'Configurações'!$B$2,$F115))))</f>
        <v/>
      </c>
      <c r="J115" s="24">
        <f>IF($A115="","",IFERROR(SUMIFS('Conciliação'!$F$6:$F$305,'Conciliação'!$B$6:$B$305,$A115,'Conciliação'!$S$6:$S$305,"OK"),0))</f>
        <v/>
      </c>
      <c r="K115" s="24">
        <f>IF(OR($I115="",$J115=""),"",MAX(0,$J115-$I115))</f>
        <v/>
      </c>
      <c r="L115" s="25">
        <f>IF($A115="","",IF($C115="Inativo",IF($J115&gt;0,"INATIVO COM PUBLICAÇÃO","INATIVO"),IF($I115="","REVISAR DADOS",IF($K115&gt;0,"EXPOSIÇÃO ACIMA DO DISPONÍVEL",IF($I115=0,"SEM SALDO DISPONÍVEL",IF($G115="","SEM DATA",IF('Configurações'!$B$5-$G115&gt;'Configurações'!$B$4,"ATUALIZAÇÃO VENCIDA","OK")))))))</f>
        <v/>
      </c>
      <c r="M115" s="25">
        <f>IF(COUNTA($A115:$G115)=0,"",IF($A115="","SKU AUSENTE",IF(COUNTIF($A$6:$A$205,$A115)&gt;1,"SKU DUPLICADO",IF($B115="","PRODUTO AUSENTE",IF(AND($C115&lt;&gt;"Ativo",$C115&lt;&gt;"Inativo"),"STATUS INVÁLIDO",IF(IFERROR(OR(NOT(ISNUMBER($D115)),$D115&lt;0,MOD($D115,1)&lt;&gt;0),TRUE),"SALDO FÍSICO INVÁLIDO",IF(IFERROR(OR(NOT(ISNUMBER($E115)),$E115&lt;0,MOD($E115,1)&lt;&gt;0),TRUE),"RESERVAS INVÁLIDAS",IF(AND($F115&lt;&gt;"",IFERROR(OR(NOT(ISNUMBER($F115)),$F115&lt;0,MOD($F115,1)&lt;&gt;0),TRUE)),"ESTOQUE DE SEGURANÇA INVÁLIDO",IF(IFERROR(OR(NOT(ISNUMBER($G115)),$G115&gt;'Configurações'!$B$5),TRUE),"DATA INVÁLIDA",IF($E115&gt;$D115,"RESERVAS MAIORES QUE O SALDO","OK"))))))))))</f>
        <v/>
      </c>
    </row>
    <row r="116">
      <c r="A116" s="21" t="n"/>
      <c r="B116" s="21" t="n"/>
      <c r="C116" s="21" t="n"/>
      <c r="D116" s="22" t="n"/>
      <c r="E116" s="22" t="n"/>
      <c r="F116" s="22" t="n"/>
      <c r="G116" s="23" t="n"/>
      <c r="H116" s="24">
        <f>IF($A116="","",IFERROR(SUMIFS('Conciliação'!$G$6:$G$305,'Conciliação'!$B$6:$B$305,$A116,'Conciliação'!$S$6:$S$305,"OK"),0))</f>
        <v/>
      </c>
      <c r="I116" s="24">
        <f>IF($A116="","",IF(OR(NOT(ISNUMBER($D116)),NOT(ISNUMBER($E116)),AND($F116&lt;&gt;"",NOT(ISNUMBER($F116)))),"",MAX(0,$D116-$E116-$H116-IF($F116="",'Configurações'!$B$2,$F116))))</f>
        <v/>
      </c>
      <c r="J116" s="24">
        <f>IF($A116="","",IFERROR(SUMIFS('Conciliação'!$F$6:$F$305,'Conciliação'!$B$6:$B$305,$A116,'Conciliação'!$S$6:$S$305,"OK"),0))</f>
        <v/>
      </c>
      <c r="K116" s="24">
        <f>IF(OR($I116="",$J116=""),"",MAX(0,$J116-$I116))</f>
        <v/>
      </c>
      <c r="L116" s="25">
        <f>IF($A116="","",IF($C116="Inativo",IF($J116&gt;0,"INATIVO COM PUBLICAÇÃO","INATIVO"),IF($I116="","REVISAR DADOS",IF($K116&gt;0,"EXPOSIÇÃO ACIMA DO DISPONÍVEL",IF($I116=0,"SEM SALDO DISPONÍVEL",IF($G116="","SEM DATA",IF('Configurações'!$B$5-$G116&gt;'Configurações'!$B$4,"ATUALIZAÇÃO VENCIDA","OK")))))))</f>
        <v/>
      </c>
      <c r="M116" s="25">
        <f>IF(COUNTA($A116:$G116)=0,"",IF($A116="","SKU AUSENTE",IF(COUNTIF($A$6:$A$205,$A116)&gt;1,"SKU DUPLICADO",IF($B116="","PRODUTO AUSENTE",IF(AND($C116&lt;&gt;"Ativo",$C116&lt;&gt;"Inativo"),"STATUS INVÁLIDO",IF(IFERROR(OR(NOT(ISNUMBER($D116)),$D116&lt;0,MOD($D116,1)&lt;&gt;0),TRUE),"SALDO FÍSICO INVÁLIDO",IF(IFERROR(OR(NOT(ISNUMBER($E116)),$E116&lt;0,MOD($E116,1)&lt;&gt;0),TRUE),"RESERVAS INVÁLIDAS",IF(AND($F116&lt;&gt;"",IFERROR(OR(NOT(ISNUMBER($F116)),$F116&lt;0,MOD($F116,1)&lt;&gt;0),TRUE)),"ESTOQUE DE SEGURANÇA INVÁLIDO",IF(IFERROR(OR(NOT(ISNUMBER($G116)),$G116&gt;'Configurações'!$B$5),TRUE),"DATA INVÁLIDA",IF($E116&gt;$D116,"RESERVAS MAIORES QUE O SALDO","OK"))))))))))</f>
        <v/>
      </c>
    </row>
    <row r="117">
      <c r="A117" s="21" t="n"/>
      <c r="B117" s="21" t="n"/>
      <c r="C117" s="21" t="n"/>
      <c r="D117" s="22" t="n"/>
      <c r="E117" s="22" t="n"/>
      <c r="F117" s="22" t="n"/>
      <c r="G117" s="23" t="n"/>
      <c r="H117" s="24">
        <f>IF($A117="","",IFERROR(SUMIFS('Conciliação'!$G$6:$G$305,'Conciliação'!$B$6:$B$305,$A117,'Conciliação'!$S$6:$S$305,"OK"),0))</f>
        <v/>
      </c>
      <c r="I117" s="24">
        <f>IF($A117="","",IF(OR(NOT(ISNUMBER($D117)),NOT(ISNUMBER($E117)),AND($F117&lt;&gt;"",NOT(ISNUMBER($F117)))),"",MAX(0,$D117-$E117-$H117-IF($F117="",'Configurações'!$B$2,$F117))))</f>
        <v/>
      </c>
      <c r="J117" s="24">
        <f>IF($A117="","",IFERROR(SUMIFS('Conciliação'!$F$6:$F$305,'Conciliação'!$B$6:$B$305,$A117,'Conciliação'!$S$6:$S$305,"OK"),0))</f>
        <v/>
      </c>
      <c r="K117" s="24">
        <f>IF(OR($I117="",$J117=""),"",MAX(0,$J117-$I117))</f>
        <v/>
      </c>
      <c r="L117" s="25">
        <f>IF($A117="","",IF($C117="Inativo",IF($J117&gt;0,"INATIVO COM PUBLICAÇÃO","INATIVO"),IF($I117="","REVISAR DADOS",IF($K117&gt;0,"EXPOSIÇÃO ACIMA DO DISPONÍVEL",IF($I117=0,"SEM SALDO DISPONÍVEL",IF($G117="","SEM DATA",IF('Configurações'!$B$5-$G117&gt;'Configurações'!$B$4,"ATUALIZAÇÃO VENCIDA","OK")))))))</f>
        <v/>
      </c>
      <c r="M117" s="25">
        <f>IF(COUNTA($A117:$G117)=0,"",IF($A117="","SKU AUSENTE",IF(COUNTIF($A$6:$A$205,$A117)&gt;1,"SKU DUPLICADO",IF($B117="","PRODUTO AUSENTE",IF(AND($C117&lt;&gt;"Ativo",$C117&lt;&gt;"Inativo"),"STATUS INVÁLIDO",IF(IFERROR(OR(NOT(ISNUMBER($D117)),$D117&lt;0,MOD($D117,1)&lt;&gt;0),TRUE),"SALDO FÍSICO INVÁLIDO",IF(IFERROR(OR(NOT(ISNUMBER($E117)),$E117&lt;0,MOD($E117,1)&lt;&gt;0),TRUE),"RESERVAS INVÁLIDAS",IF(AND($F117&lt;&gt;"",IFERROR(OR(NOT(ISNUMBER($F117)),$F117&lt;0,MOD($F117,1)&lt;&gt;0),TRUE)),"ESTOQUE DE SEGURANÇA INVÁLIDO",IF(IFERROR(OR(NOT(ISNUMBER($G117)),$G117&gt;'Configurações'!$B$5),TRUE),"DATA INVÁLIDA",IF($E117&gt;$D117,"RESERVAS MAIORES QUE O SALDO","OK"))))))))))</f>
        <v/>
      </c>
    </row>
    <row r="118">
      <c r="A118" s="21" t="n"/>
      <c r="B118" s="21" t="n"/>
      <c r="C118" s="21" t="n"/>
      <c r="D118" s="22" t="n"/>
      <c r="E118" s="22" t="n"/>
      <c r="F118" s="22" t="n"/>
      <c r="G118" s="23" t="n"/>
      <c r="H118" s="24">
        <f>IF($A118="","",IFERROR(SUMIFS('Conciliação'!$G$6:$G$305,'Conciliação'!$B$6:$B$305,$A118,'Conciliação'!$S$6:$S$305,"OK"),0))</f>
        <v/>
      </c>
      <c r="I118" s="24">
        <f>IF($A118="","",IF(OR(NOT(ISNUMBER($D118)),NOT(ISNUMBER($E118)),AND($F118&lt;&gt;"",NOT(ISNUMBER($F118)))),"",MAX(0,$D118-$E118-$H118-IF($F118="",'Configurações'!$B$2,$F118))))</f>
        <v/>
      </c>
      <c r="J118" s="24">
        <f>IF($A118="","",IFERROR(SUMIFS('Conciliação'!$F$6:$F$305,'Conciliação'!$B$6:$B$305,$A118,'Conciliação'!$S$6:$S$305,"OK"),0))</f>
        <v/>
      </c>
      <c r="K118" s="24">
        <f>IF(OR($I118="",$J118=""),"",MAX(0,$J118-$I118))</f>
        <v/>
      </c>
      <c r="L118" s="25">
        <f>IF($A118="","",IF($C118="Inativo",IF($J118&gt;0,"INATIVO COM PUBLICAÇÃO","INATIVO"),IF($I118="","REVISAR DADOS",IF($K118&gt;0,"EXPOSIÇÃO ACIMA DO DISPONÍVEL",IF($I118=0,"SEM SALDO DISPONÍVEL",IF($G118="","SEM DATA",IF('Configurações'!$B$5-$G118&gt;'Configurações'!$B$4,"ATUALIZAÇÃO VENCIDA","OK")))))))</f>
        <v/>
      </c>
      <c r="M118" s="25">
        <f>IF(COUNTA($A118:$G118)=0,"",IF($A118="","SKU AUSENTE",IF(COUNTIF($A$6:$A$205,$A118)&gt;1,"SKU DUPLICADO",IF($B118="","PRODUTO AUSENTE",IF(AND($C118&lt;&gt;"Ativo",$C118&lt;&gt;"Inativo"),"STATUS INVÁLIDO",IF(IFERROR(OR(NOT(ISNUMBER($D118)),$D118&lt;0,MOD($D118,1)&lt;&gt;0),TRUE),"SALDO FÍSICO INVÁLIDO",IF(IFERROR(OR(NOT(ISNUMBER($E118)),$E118&lt;0,MOD($E118,1)&lt;&gt;0),TRUE),"RESERVAS INVÁLIDAS",IF(AND($F118&lt;&gt;"",IFERROR(OR(NOT(ISNUMBER($F118)),$F118&lt;0,MOD($F118,1)&lt;&gt;0),TRUE)),"ESTOQUE DE SEGURANÇA INVÁLIDO",IF(IFERROR(OR(NOT(ISNUMBER($G118)),$G118&gt;'Configurações'!$B$5),TRUE),"DATA INVÁLIDA",IF($E118&gt;$D118,"RESERVAS MAIORES QUE O SALDO","OK"))))))))))</f>
        <v/>
      </c>
    </row>
    <row r="119">
      <c r="A119" s="21" t="n"/>
      <c r="B119" s="21" t="n"/>
      <c r="C119" s="21" t="n"/>
      <c r="D119" s="22" t="n"/>
      <c r="E119" s="22" t="n"/>
      <c r="F119" s="22" t="n"/>
      <c r="G119" s="23" t="n"/>
      <c r="H119" s="24">
        <f>IF($A119="","",IFERROR(SUMIFS('Conciliação'!$G$6:$G$305,'Conciliação'!$B$6:$B$305,$A119,'Conciliação'!$S$6:$S$305,"OK"),0))</f>
        <v/>
      </c>
      <c r="I119" s="24">
        <f>IF($A119="","",IF(OR(NOT(ISNUMBER($D119)),NOT(ISNUMBER($E119)),AND($F119&lt;&gt;"",NOT(ISNUMBER($F119)))),"",MAX(0,$D119-$E119-$H119-IF($F119="",'Configurações'!$B$2,$F119))))</f>
        <v/>
      </c>
      <c r="J119" s="24">
        <f>IF($A119="","",IFERROR(SUMIFS('Conciliação'!$F$6:$F$305,'Conciliação'!$B$6:$B$305,$A119,'Conciliação'!$S$6:$S$305,"OK"),0))</f>
        <v/>
      </c>
      <c r="K119" s="24">
        <f>IF(OR($I119="",$J119=""),"",MAX(0,$J119-$I119))</f>
        <v/>
      </c>
      <c r="L119" s="25">
        <f>IF($A119="","",IF($C119="Inativo",IF($J119&gt;0,"INATIVO COM PUBLICAÇÃO","INATIVO"),IF($I119="","REVISAR DADOS",IF($K119&gt;0,"EXPOSIÇÃO ACIMA DO DISPONÍVEL",IF($I119=0,"SEM SALDO DISPONÍVEL",IF($G119="","SEM DATA",IF('Configurações'!$B$5-$G119&gt;'Configurações'!$B$4,"ATUALIZAÇÃO VENCIDA","OK")))))))</f>
        <v/>
      </c>
      <c r="M119" s="25">
        <f>IF(COUNTA($A119:$G119)=0,"",IF($A119="","SKU AUSENTE",IF(COUNTIF($A$6:$A$205,$A119)&gt;1,"SKU DUPLICADO",IF($B119="","PRODUTO AUSENTE",IF(AND($C119&lt;&gt;"Ativo",$C119&lt;&gt;"Inativo"),"STATUS INVÁLIDO",IF(IFERROR(OR(NOT(ISNUMBER($D119)),$D119&lt;0,MOD($D119,1)&lt;&gt;0),TRUE),"SALDO FÍSICO INVÁLIDO",IF(IFERROR(OR(NOT(ISNUMBER($E119)),$E119&lt;0,MOD($E119,1)&lt;&gt;0),TRUE),"RESERVAS INVÁLIDAS",IF(AND($F119&lt;&gt;"",IFERROR(OR(NOT(ISNUMBER($F119)),$F119&lt;0,MOD($F119,1)&lt;&gt;0),TRUE)),"ESTOQUE DE SEGURANÇA INVÁLIDO",IF(IFERROR(OR(NOT(ISNUMBER($G119)),$G119&gt;'Configurações'!$B$5),TRUE),"DATA INVÁLIDA",IF($E119&gt;$D119,"RESERVAS MAIORES QUE O SALDO","OK"))))))))))</f>
        <v/>
      </c>
    </row>
    <row r="120">
      <c r="A120" s="21" t="n"/>
      <c r="B120" s="21" t="n"/>
      <c r="C120" s="21" t="n"/>
      <c r="D120" s="22" t="n"/>
      <c r="E120" s="22" t="n"/>
      <c r="F120" s="22" t="n"/>
      <c r="G120" s="23" t="n"/>
      <c r="H120" s="24">
        <f>IF($A120="","",IFERROR(SUMIFS('Conciliação'!$G$6:$G$305,'Conciliação'!$B$6:$B$305,$A120,'Conciliação'!$S$6:$S$305,"OK"),0))</f>
        <v/>
      </c>
      <c r="I120" s="24">
        <f>IF($A120="","",IF(OR(NOT(ISNUMBER($D120)),NOT(ISNUMBER($E120)),AND($F120&lt;&gt;"",NOT(ISNUMBER($F120)))),"",MAX(0,$D120-$E120-$H120-IF($F120="",'Configurações'!$B$2,$F120))))</f>
        <v/>
      </c>
      <c r="J120" s="24">
        <f>IF($A120="","",IFERROR(SUMIFS('Conciliação'!$F$6:$F$305,'Conciliação'!$B$6:$B$305,$A120,'Conciliação'!$S$6:$S$305,"OK"),0))</f>
        <v/>
      </c>
      <c r="K120" s="24">
        <f>IF(OR($I120="",$J120=""),"",MAX(0,$J120-$I120))</f>
        <v/>
      </c>
      <c r="L120" s="25">
        <f>IF($A120="","",IF($C120="Inativo",IF($J120&gt;0,"INATIVO COM PUBLICAÇÃO","INATIVO"),IF($I120="","REVISAR DADOS",IF($K120&gt;0,"EXPOSIÇÃO ACIMA DO DISPONÍVEL",IF($I120=0,"SEM SALDO DISPONÍVEL",IF($G120="","SEM DATA",IF('Configurações'!$B$5-$G120&gt;'Configurações'!$B$4,"ATUALIZAÇÃO VENCIDA","OK")))))))</f>
        <v/>
      </c>
      <c r="M120" s="25">
        <f>IF(COUNTA($A120:$G120)=0,"",IF($A120="","SKU AUSENTE",IF(COUNTIF($A$6:$A$205,$A120)&gt;1,"SKU DUPLICADO",IF($B120="","PRODUTO AUSENTE",IF(AND($C120&lt;&gt;"Ativo",$C120&lt;&gt;"Inativo"),"STATUS INVÁLIDO",IF(IFERROR(OR(NOT(ISNUMBER($D120)),$D120&lt;0,MOD($D120,1)&lt;&gt;0),TRUE),"SALDO FÍSICO INVÁLIDO",IF(IFERROR(OR(NOT(ISNUMBER($E120)),$E120&lt;0,MOD($E120,1)&lt;&gt;0),TRUE),"RESERVAS INVÁLIDAS",IF(AND($F120&lt;&gt;"",IFERROR(OR(NOT(ISNUMBER($F120)),$F120&lt;0,MOD($F120,1)&lt;&gt;0),TRUE)),"ESTOQUE DE SEGURANÇA INVÁLIDO",IF(IFERROR(OR(NOT(ISNUMBER($G120)),$G120&gt;'Configurações'!$B$5),TRUE),"DATA INVÁLIDA",IF($E120&gt;$D120,"RESERVAS MAIORES QUE O SALDO","OK"))))))))))</f>
        <v/>
      </c>
    </row>
    <row r="121">
      <c r="A121" s="21" t="n"/>
      <c r="B121" s="21" t="n"/>
      <c r="C121" s="21" t="n"/>
      <c r="D121" s="22" t="n"/>
      <c r="E121" s="22" t="n"/>
      <c r="F121" s="22" t="n"/>
      <c r="G121" s="23" t="n"/>
      <c r="H121" s="24">
        <f>IF($A121="","",IFERROR(SUMIFS('Conciliação'!$G$6:$G$305,'Conciliação'!$B$6:$B$305,$A121,'Conciliação'!$S$6:$S$305,"OK"),0))</f>
        <v/>
      </c>
      <c r="I121" s="24">
        <f>IF($A121="","",IF(OR(NOT(ISNUMBER($D121)),NOT(ISNUMBER($E121)),AND($F121&lt;&gt;"",NOT(ISNUMBER($F121)))),"",MAX(0,$D121-$E121-$H121-IF($F121="",'Configurações'!$B$2,$F121))))</f>
        <v/>
      </c>
      <c r="J121" s="24">
        <f>IF($A121="","",IFERROR(SUMIFS('Conciliação'!$F$6:$F$305,'Conciliação'!$B$6:$B$305,$A121,'Conciliação'!$S$6:$S$305,"OK"),0))</f>
        <v/>
      </c>
      <c r="K121" s="24">
        <f>IF(OR($I121="",$J121=""),"",MAX(0,$J121-$I121))</f>
        <v/>
      </c>
      <c r="L121" s="25">
        <f>IF($A121="","",IF($C121="Inativo",IF($J121&gt;0,"INATIVO COM PUBLICAÇÃO","INATIVO"),IF($I121="","REVISAR DADOS",IF($K121&gt;0,"EXPOSIÇÃO ACIMA DO DISPONÍVEL",IF($I121=0,"SEM SALDO DISPONÍVEL",IF($G121="","SEM DATA",IF('Configurações'!$B$5-$G121&gt;'Configurações'!$B$4,"ATUALIZAÇÃO VENCIDA","OK")))))))</f>
        <v/>
      </c>
      <c r="M121" s="25">
        <f>IF(COUNTA($A121:$G121)=0,"",IF($A121="","SKU AUSENTE",IF(COUNTIF($A$6:$A$205,$A121)&gt;1,"SKU DUPLICADO",IF($B121="","PRODUTO AUSENTE",IF(AND($C121&lt;&gt;"Ativo",$C121&lt;&gt;"Inativo"),"STATUS INVÁLIDO",IF(IFERROR(OR(NOT(ISNUMBER($D121)),$D121&lt;0,MOD($D121,1)&lt;&gt;0),TRUE),"SALDO FÍSICO INVÁLIDO",IF(IFERROR(OR(NOT(ISNUMBER($E121)),$E121&lt;0,MOD($E121,1)&lt;&gt;0),TRUE),"RESERVAS INVÁLIDAS",IF(AND($F121&lt;&gt;"",IFERROR(OR(NOT(ISNUMBER($F121)),$F121&lt;0,MOD($F121,1)&lt;&gt;0),TRUE)),"ESTOQUE DE SEGURANÇA INVÁLIDO",IF(IFERROR(OR(NOT(ISNUMBER($G121)),$G121&gt;'Configurações'!$B$5),TRUE),"DATA INVÁLIDA",IF($E121&gt;$D121,"RESERVAS MAIORES QUE O SALDO","OK"))))))))))</f>
        <v/>
      </c>
    </row>
    <row r="122">
      <c r="A122" s="21" t="n"/>
      <c r="B122" s="21" t="n"/>
      <c r="C122" s="21" t="n"/>
      <c r="D122" s="22" t="n"/>
      <c r="E122" s="22" t="n"/>
      <c r="F122" s="22" t="n"/>
      <c r="G122" s="23" t="n"/>
      <c r="H122" s="24">
        <f>IF($A122="","",IFERROR(SUMIFS('Conciliação'!$G$6:$G$305,'Conciliação'!$B$6:$B$305,$A122,'Conciliação'!$S$6:$S$305,"OK"),0))</f>
        <v/>
      </c>
      <c r="I122" s="24">
        <f>IF($A122="","",IF(OR(NOT(ISNUMBER($D122)),NOT(ISNUMBER($E122)),AND($F122&lt;&gt;"",NOT(ISNUMBER($F122)))),"",MAX(0,$D122-$E122-$H122-IF($F122="",'Configurações'!$B$2,$F122))))</f>
        <v/>
      </c>
      <c r="J122" s="24">
        <f>IF($A122="","",IFERROR(SUMIFS('Conciliação'!$F$6:$F$305,'Conciliação'!$B$6:$B$305,$A122,'Conciliação'!$S$6:$S$305,"OK"),0))</f>
        <v/>
      </c>
      <c r="K122" s="24">
        <f>IF(OR($I122="",$J122=""),"",MAX(0,$J122-$I122))</f>
        <v/>
      </c>
      <c r="L122" s="25">
        <f>IF($A122="","",IF($C122="Inativo",IF($J122&gt;0,"INATIVO COM PUBLICAÇÃO","INATIVO"),IF($I122="","REVISAR DADOS",IF($K122&gt;0,"EXPOSIÇÃO ACIMA DO DISPONÍVEL",IF($I122=0,"SEM SALDO DISPONÍVEL",IF($G122="","SEM DATA",IF('Configurações'!$B$5-$G122&gt;'Configurações'!$B$4,"ATUALIZAÇÃO VENCIDA","OK")))))))</f>
        <v/>
      </c>
      <c r="M122" s="25">
        <f>IF(COUNTA($A122:$G122)=0,"",IF($A122="","SKU AUSENTE",IF(COUNTIF($A$6:$A$205,$A122)&gt;1,"SKU DUPLICADO",IF($B122="","PRODUTO AUSENTE",IF(AND($C122&lt;&gt;"Ativo",$C122&lt;&gt;"Inativo"),"STATUS INVÁLIDO",IF(IFERROR(OR(NOT(ISNUMBER($D122)),$D122&lt;0,MOD($D122,1)&lt;&gt;0),TRUE),"SALDO FÍSICO INVÁLIDO",IF(IFERROR(OR(NOT(ISNUMBER($E122)),$E122&lt;0,MOD($E122,1)&lt;&gt;0),TRUE),"RESERVAS INVÁLIDAS",IF(AND($F122&lt;&gt;"",IFERROR(OR(NOT(ISNUMBER($F122)),$F122&lt;0,MOD($F122,1)&lt;&gt;0),TRUE)),"ESTOQUE DE SEGURANÇA INVÁLIDO",IF(IFERROR(OR(NOT(ISNUMBER($G122)),$G122&gt;'Configurações'!$B$5),TRUE),"DATA INVÁLIDA",IF($E122&gt;$D122,"RESERVAS MAIORES QUE O SALDO","OK"))))))))))</f>
        <v/>
      </c>
    </row>
    <row r="123">
      <c r="A123" s="21" t="n"/>
      <c r="B123" s="21" t="n"/>
      <c r="C123" s="21" t="n"/>
      <c r="D123" s="22" t="n"/>
      <c r="E123" s="22" t="n"/>
      <c r="F123" s="22" t="n"/>
      <c r="G123" s="23" t="n"/>
      <c r="H123" s="24">
        <f>IF($A123="","",IFERROR(SUMIFS('Conciliação'!$G$6:$G$305,'Conciliação'!$B$6:$B$305,$A123,'Conciliação'!$S$6:$S$305,"OK"),0))</f>
        <v/>
      </c>
      <c r="I123" s="24">
        <f>IF($A123="","",IF(OR(NOT(ISNUMBER($D123)),NOT(ISNUMBER($E123)),AND($F123&lt;&gt;"",NOT(ISNUMBER($F123)))),"",MAX(0,$D123-$E123-$H123-IF($F123="",'Configurações'!$B$2,$F123))))</f>
        <v/>
      </c>
      <c r="J123" s="24">
        <f>IF($A123="","",IFERROR(SUMIFS('Conciliação'!$F$6:$F$305,'Conciliação'!$B$6:$B$305,$A123,'Conciliação'!$S$6:$S$305,"OK"),0))</f>
        <v/>
      </c>
      <c r="K123" s="24">
        <f>IF(OR($I123="",$J123=""),"",MAX(0,$J123-$I123))</f>
        <v/>
      </c>
      <c r="L123" s="25">
        <f>IF($A123="","",IF($C123="Inativo",IF($J123&gt;0,"INATIVO COM PUBLICAÇÃO","INATIVO"),IF($I123="","REVISAR DADOS",IF($K123&gt;0,"EXPOSIÇÃO ACIMA DO DISPONÍVEL",IF($I123=0,"SEM SALDO DISPONÍVEL",IF($G123="","SEM DATA",IF('Configurações'!$B$5-$G123&gt;'Configurações'!$B$4,"ATUALIZAÇÃO VENCIDA","OK")))))))</f>
        <v/>
      </c>
      <c r="M123" s="25">
        <f>IF(COUNTA($A123:$G123)=0,"",IF($A123="","SKU AUSENTE",IF(COUNTIF($A$6:$A$205,$A123)&gt;1,"SKU DUPLICADO",IF($B123="","PRODUTO AUSENTE",IF(AND($C123&lt;&gt;"Ativo",$C123&lt;&gt;"Inativo"),"STATUS INVÁLIDO",IF(IFERROR(OR(NOT(ISNUMBER($D123)),$D123&lt;0,MOD($D123,1)&lt;&gt;0),TRUE),"SALDO FÍSICO INVÁLIDO",IF(IFERROR(OR(NOT(ISNUMBER($E123)),$E123&lt;0,MOD($E123,1)&lt;&gt;0),TRUE),"RESERVAS INVÁLIDAS",IF(AND($F123&lt;&gt;"",IFERROR(OR(NOT(ISNUMBER($F123)),$F123&lt;0,MOD($F123,1)&lt;&gt;0),TRUE)),"ESTOQUE DE SEGURANÇA INVÁLIDO",IF(IFERROR(OR(NOT(ISNUMBER($G123)),$G123&gt;'Configurações'!$B$5),TRUE),"DATA INVÁLIDA",IF($E123&gt;$D123,"RESERVAS MAIORES QUE O SALDO","OK"))))))))))</f>
        <v/>
      </c>
    </row>
    <row r="124">
      <c r="A124" s="21" t="n"/>
      <c r="B124" s="21" t="n"/>
      <c r="C124" s="21" t="n"/>
      <c r="D124" s="22" t="n"/>
      <c r="E124" s="22" t="n"/>
      <c r="F124" s="22" t="n"/>
      <c r="G124" s="23" t="n"/>
      <c r="H124" s="24">
        <f>IF($A124="","",IFERROR(SUMIFS('Conciliação'!$G$6:$G$305,'Conciliação'!$B$6:$B$305,$A124,'Conciliação'!$S$6:$S$305,"OK"),0))</f>
        <v/>
      </c>
      <c r="I124" s="24">
        <f>IF($A124="","",IF(OR(NOT(ISNUMBER($D124)),NOT(ISNUMBER($E124)),AND($F124&lt;&gt;"",NOT(ISNUMBER($F124)))),"",MAX(0,$D124-$E124-$H124-IF($F124="",'Configurações'!$B$2,$F124))))</f>
        <v/>
      </c>
      <c r="J124" s="24">
        <f>IF($A124="","",IFERROR(SUMIFS('Conciliação'!$F$6:$F$305,'Conciliação'!$B$6:$B$305,$A124,'Conciliação'!$S$6:$S$305,"OK"),0))</f>
        <v/>
      </c>
      <c r="K124" s="24">
        <f>IF(OR($I124="",$J124=""),"",MAX(0,$J124-$I124))</f>
        <v/>
      </c>
      <c r="L124" s="25">
        <f>IF($A124="","",IF($C124="Inativo",IF($J124&gt;0,"INATIVO COM PUBLICAÇÃO","INATIVO"),IF($I124="","REVISAR DADOS",IF($K124&gt;0,"EXPOSIÇÃO ACIMA DO DISPONÍVEL",IF($I124=0,"SEM SALDO DISPONÍVEL",IF($G124="","SEM DATA",IF('Configurações'!$B$5-$G124&gt;'Configurações'!$B$4,"ATUALIZAÇÃO VENCIDA","OK")))))))</f>
        <v/>
      </c>
      <c r="M124" s="25">
        <f>IF(COUNTA($A124:$G124)=0,"",IF($A124="","SKU AUSENTE",IF(COUNTIF($A$6:$A$205,$A124)&gt;1,"SKU DUPLICADO",IF($B124="","PRODUTO AUSENTE",IF(AND($C124&lt;&gt;"Ativo",$C124&lt;&gt;"Inativo"),"STATUS INVÁLIDO",IF(IFERROR(OR(NOT(ISNUMBER($D124)),$D124&lt;0,MOD($D124,1)&lt;&gt;0),TRUE),"SALDO FÍSICO INVÁLIDO",IF(IFERROR(OR(NOT(ISNUMBER($E124)),$E124&lt;0,MOD($E124,1)&lt;&gt;0),TRUE),"RESERVAS INVÁLIDAS",IF(AND($F124&lt;&gt;"",IFERROR(OR(NOT(ISNUMBER($F124)),$F124&lt;0,MOD($F124,1)&lt;&gt;0),TRUE)),"ESTOQUE DE SEGURANÇA INVÁLIDO",IF(IFERROR(OR(NOT(ISNUMBER($G124)),$G124&gt;'Configurações'!$B$5),TRUE),"DATA INVÁLIDA",IF($E124&gt;$D124,"RESERVAS MAIORES QUE O SALDO","OK"))))))))))</f>
        <v/>
      </c>
    </row>
    <row r="125">
      <c r="A125" s="21" t="n"/>
      <c r="B125" s="21" t="n"/>
      <c r="C125" s="21" t="n"/>
      <c r="D125" s="22" t="n"/>
      <c r="E125" s="22" t="n"/>
      <c r="F125" s="22" t="n"/>
      <c r="G125" s="23" t="n"/>
      <c r="H125" s="24">
        <f>IF($A125="","",IFERROR(SUMIFS('Conciliação'!$G$6:$G$305,'Conciliação'!$B$6:$B$305,$A125,'Conciliação'!$S$6:$S$305,"OK"),0))</f>
        <v/>
      </c>
      <c r="I125" s="24">
        <f>IF($A125="","",IF(OR(NOT(ISNUMBER($D125)),NOT(ISNUMBER($E125)),AND($F125&lt;&gt;"",NOT(ISNUMBER($F125)))),"",MAX(0,$D125-$E125-$H125-IF($F125="",'Configurações'!$B$2,$F125))))</f>
        <v/>
      </c>
      <c r="J125" s="24">
        <f>IF($A125="","",IFERROR(SUMIFS('Conciliação'!$F$6:$F$305,'Conciliação'!$B$6:$B$305,$A125,'Conciliação'!$S$6:$S$305,"OK"),0))</f>
        <v/>
      </c>
      <c r="K125" s="24">
        <f>IF(OR($I125="",$J125=""),"",MAX(0,$J125-$I125))</f>
        <v/>
      </c>
      <c r="L125" s="25">
        <f>IF($A125="","",IF($C125="Inativo",IF($J125&gt;0,"INATIVO COM PUBLICAÇÃO","INATIVO"),IF($I125="","REVISAR DADOS",IF($K125&gt;0,"EXPOSIÇÃO ACIMA DO DISPONÍVEL",IF($I125=0,"SEM SALDO DISPONÍVEL",IF($G125="","SEM DATA",IF('Configurações'!$B$5-$G125&gt;'Configurações'!$B$4,"ATUALIZAÇÃO VENCIDA","OK")))))))</f>
        <v/>
      </c>
      <c r="M125" s="25">
        <f>IF(COUNTA($A125:$G125)=0,"",IF($A125="","SKU AUSENTE",IF(COUNTIF($A$6:$A$205,$A125)&gt;1,"SKU DUPLICADO",IF($B125="","PRODUTO AUSENTE",IF(AND($C125&lt;&gt;"Ativo",$C125&lt;&gt;"Inativo"),"STATUS INVÁLIDO",IF(IFERROR(OR(NOT(ISNUMBER($D125)),$D125&lt;0,MOD($D125,1)&lt;&gt;0),TRUE),"SALDO FÍSICO INVÁLIDO",IF(IFERROR(OR(NOT(ISNUMBER($E125)),$E125&lt;0,MOD($E125,1)&lt;&gt;0),TRUE),"RESERVAS INVÁLIDAS",IF(AND($F125&lt;&gt;"",IFERROR(OR(NOT(ISNUMBER($F125)),$F125&lt;0,MOD($F125,1)&lt;&gt;0),TRUE)),"ESTOQUE DE SEGURANÇA INVÁLIDO",IF(IFERROR(OR(NOT(ISNUMBER($G125)),$G125&gt;'Configurações'!$B$5),TRUE),"DATA INVÁLIDA",IF($E125&gt;$D125,"RESERVAS MAIORES QUE O SALDO","OK"))))))))))</f>
        <v/>
      </c>
    </row>
    <row r="126">
      <c r="A126" s="21" t="n"/>
      <c r="B126" s="21" t="n"/>
      <c r="C126" s="21" t="n"/>
      <c r="D126" s="22" t="n"/>
      <c r="E126" s="22" t="n"/>
      <c r="F126" s="22" t="n"/>
      <c r="G126" s="23" t="n"/>
      <c r="H126" s="24">
        <f>IF($A126="","",IFERROR(SUMIFS('Conciliação'!$G$6:$G$305,'Conciliação'!$B$6:$B$305,$A126,'Conciliação'!$S$6:$S$305,"OK"),0))</f>
        <v/>
      </c>
      <c r="I126" s="24">
        <f>IF($A126="","",IF(OR(NOT(ISNUMBER($D126)),NOT(ISNUMBER($E126)),AND($F126&lt;&gt;"",NOT(ISNUMBER($F126)))),"",MAX(0,$D126-$E126-$H126-IF($F126="",'Configurações'!$B$2,$F126))))</f>
        <v/>
      </c>
      <c r="J126" s="24">
        <f>IF($A126="","",IFERROR(SUMIFS('Conciliação'!$F$6:$F$305,'Conciliação'!$B$6:$B$305,$A126,'Conciliação'!$S$6:$S$305,"OK"),0))</f>
        <v/>
      </c>
      <c r="K126" s="24">
        <f>IF(OR($I126="",$J126=""),"",MAX(0,$J126-$I126))</f>
        <v/>
      </c>
      <c r="L126" s="25">
        <f>IF($A126="","",IF($C126="Inativo",IF($J126&gt;0,"INATIVO COM PUBLICAÇÃO","INATIVO"),IF($I126="","REVISAR DADOS",IF($K126&gt;0,"EXPOSIÇÃO ACIMA DO DISPONÍVEL",IF($I126=0,"SEM SALDO DISPONÍVEL",IF($G126="","SEM DATA",IF('Configurações'!$B$5-$G126&gt;'Configurações'!$B$4,"ATUALIZAÇÃO VENCIDA","OK")))))))</f>
        <v/>
      </c>
      <c r="M126" s="25">
        <f>IF(COUNTA($A126:$G126)=0,"",IF($A126="","SKU AUSENTE",IF(COUNTIF($A$6:$A$205,$A126)&gt;1,"SKU DUPLICADO",IF($B126="","PRODUTO AUSENTE",IF(AND($C126&lt;&gt;"Ativo",$C126&lt;&gt;"Inativo"),"STATUS INVÁLIDO",IF(IFERROR(OR(NOT(ISNUMBER($D126)),$D126&lt;0,MOD($D126,1)&lt;&gt;0),TRUE),"SALDO FÍSICO INVÁLIDO",IF(IFERROR(OR(NOT(ISNUMBER($E126)),$E126&lt;0,MOD($E126,1)&lt;&gt;0),TRUE),"RESERVAS INVÁLIDAS",IF(AND($F126&lt;&gt;"",IFERROR(OR(NOT(ISNUMBER($F126)),$F126&lt;0,MOD($F126,1)&lt;&gt;0),TRUE)),"ESTOQUE DE SEGURANÇA INVÁLIDO",IF(IFERROR(OR(NOT(ISNUMBER($G126)),$G126&gt;'Configurações'!$B$5),TRUE),"DATA INVÁLIDA",IF($E126&gt;$D126,"RESERVAS MAIORES QUE O SALDO","OK"))))))))))</f>
        <v/>
      </c>
    </row>
    <row r="127">
      <c r="A127" s="21" t="n"/>
      <c r="B127" s="21" t="n"/>
      <c r="C127" s="21" t="n"/>
      <c r="D127" s="22" t="n"/>
      <c r="E127" s="22" t="n"/>
      <c r="F127" s="22" t="n"/>
      <c r="G127" s="23" t="n"/>
      <c r="H127" s="24">
        <f>IF($A127="","",IFERROR(SUMIFS('Conciliação'!$G$6:$G$305,'Conciliação'!$B$6:$B$305,$A127,'Conciliação'!$S$6:$S$305,"OK"),0))</f>
        <v/>
      </c>
      <c r="I127" s="24">
        <f>IF($A127="","",IF(OR(NOT(ISNUMBER($D127)),NOT(ISNUMBER($E127)),AND($F127&lt;&gt;"",NOT(ISNUMBER($F127)))),"",MAX(0,$D127-$E127-$H127-IF($F127="",'Configurações'!$B$2,$F127))))</f>
        <v/>
      </c>
      <c r="J127" s="24">
        <f>IF($A127="","",IFERROR(SUMIFS('Conciliação'!$F$6:$F$305,'Conciliação'!$B$6:$B$305,$A127,'Conciliação'!$S$6:$S$305,"OK"),0))</f>
        <v/>
      </c>
      <c r="K127" s="24">
        <f>IF(OR($I127="",$J127=""),"",MAX(0,$J127-$I127))</f>
        <v/>
      </c>
      <c r="L127" s="25">
        <f>IF($A127="","",IF($C127="Inativo",IF($J127&gt;0,"INATIVO COM PUBLICAÇÃO","INATIVO"),IF($I127="","REVISAR DADOS",IF($K127&gt;0,"EXPOSIÇÃO ACIMA DO DISPONÍVEL",IF($I127=0,"SEM SALDO DISPONÍVEL",IF($G127="","SEM DATA",IF('Configurações'!$B$5-$G127&gt;'Configurações'!$B$4,"ATUALIZAÇÃO VENCIDA","OK")))))))</f>
        <v/>
      </c>
      <c r="M127" s="25">
        <f>IF(COUNTA($A127:$G127)=0,"",IF($A127="","SKU AUSENTE",IF(COUNTIF($A$6:$A$205,$A127)&gt;1,"SKU DUPLICADO",IF($B127="","PRODUTO AUSENTE",IF(AND($C127&lt;&gt;"Ativo",$C127&lt;&gt;"Inativo"),"STATUS INVÁLIDO",IF(IFERROR(OR(NOT(ISNUMBER($D127)),$D127&lt;0,MOD($D127,1)&lt;&gt;0),TRUE),"SALDO FÍSICO INVÁLIDO",IF(IFERROR(OR(NOT(ISNUMBER($E127)),$E127&lt;0,MOD($E127,1)&lt;&gt;0),TRUE),"RESERVAS INVÁLIDAS",IF(AND($F127&lt;&gt;"",IFERROR(OR(NOT(ISNUMBER($F127)),$F127&lt;0,MOD($F127,1)&lt;&gt;0),TRUE)),"ESTOQUE DE SEGURANÇA INVÁLIDO",IF(IFERROR(OR(NOT(ISNUMBER($G127)),$G127&gt;'Configurações'!$B$5),TRUE),"DATA INVÁLIDA",IF($E127&gt;$D127,"RESERVAS MAIORES QUE O SALDO","OK"))))))))))</f>
        <v/>
      </c>
    </row>
    <row r="128">
      <c r="A128" s="21" t="n"/>
      <c r="B128" s="21" t="n"/>
      <c r="C128" s="21" t="n"/>
      <c r="D128" s="22" t="n"/>
      <c r="E128" s="22" t="n"/>
      <c r="F128" s="22" t="n"/>
      <c r="G128" s="23" t="n"/>
      <c r="H128" s="24">
        <f>IF($A128="","",IFERROR(SUMIFS('Conciliação'!$G$6:$G$305,'Conciliação'!$B$6:$B$305,$A128,'Conciliação'!$S$6:$S$305,"OK"),0))</f>
        <v/>
      </c>
      <c r="I128" s="24">
        <f>IF($A128="","",IF(OR(NOT(ISNUMBER($D128)),NOT(ISNUMBER($E128)),AND($F128&lt;&gt;"",NOT(ISNUMBER($F128)))),"",MAX(0,$D128-$E128-$H128-IF($F128="",'Configurações'!$B$2,$F128))))</f>
        <v/>
      </c>
      <c r="J128" s="24">
        <f>IF($A128="","",IFERROR(SUMIFS('Conciliação'!$F$6:$F$305,'Conciliação'!$B$6:$B$305,$A128,'Conciliação'!$S$6:$S$305,"OK"),0))</f>
        <v/>
      </c>
      <c r="K128" s="24">
        <f>IF(OR($I128="",$J128=""),"",MAX(0,$J128-$I128))</f>
        <v/>
      </c>
      <c r="L128" s="25">
        <f>IF($A128="","",IF($C128="Inativo",IF($J128&gt;0,"INATIVO COM PUBLICAÇÃO","INATIVO"),IF($I128="","REVISAR DADOS",IF($K128&gt;0,"EXPOSIÇÃO ACIMA DO DISPONÍVEL",IF($I128=0,"SEM SALDO DISPONÍVEL",IF($G128="","SEM DATA",IF('Configurações'!$B$5-$G128&gt;'Configurações'!$B$4,"ATUALIZAÇÃO VENCIDA","OK")))))))</f>
        <v/>
      </c>
      <c r="M128" s="25">
        <f>IF(COUNTA($A128:$G128)=0,"",IF($A128="","SKU AUSENTE",IF(COUNTIF($A$6:$A$205,$A128)&gt;1,"SKU DUPLICADO",IF($B128="","PRODUTO AUSENTE",IF(AND($C128&lt;&gt;"Ativo",$C128&lt;&gt;"Inativo"),"STATUS INVÁLIDO",IF(IFERROR(OR(NOT(ISNUMBER($D128)),$D128&lt;0,MOD($D128,1)&lt;&gt;0),TRUE),"SALDO FÍSICO INVÁLIDO",IF(IFERROR(OR(NOT(ISNUMBER($E128)),$E128&lt;0,MOD($E128,1)&lt;&gt;0),TRUE),"RESERVAS INVÁLIDAS",IF(AND($F128&lt;&gt;"",IFERROR(OR(NOT(ISNUMBER($F128)),$F128&lt;0,MOD($F128,1)&lt;&gt;0),TRUE)),"ESTOQUE DE SEGURANÇA INVÁLIDO",IF(IFERROR(OR(NOT(ISNUMBER($G128)),$G128&gt;'Configurações'!$B$5),TRUE),"DATA INVÁLIDA",IF($E128&gt;$D128,"RESERVAS MAIORES QUE O SALDO","OK"))))))))))</f>
        <v/>
      </c>
    </row>
    <row r="129">
      <c r="A129" s="21" t="n"/>
      <c r="B129" s="21" t="n"/>
      <c r="C129" s="21" t="n"/>
      <c r="D129" s="22" t="n"/>
      <c r="E129" s="22" t="n"/>
      <c r="F129" s="22" t="n"/>
      <c r="G129" s="23" t="n"/>
      <c r="H129" s="24">
        <f>IF($A129="","",IFERROR(SUMIFS('Conciliação'!$G$6:$G$305,'Conciliação'!$B$6:$B$305,$A129,'Conciliação'!$S$6:$S$305,"OK"),0))</f>
        <v/>
      </c>
      <c r="I129" s="24">
        <f>IF($A129="","",IF(OR(NOT(ISNUMBER($D129)),NOT(ISNUMBER($E129)),AND($F129&lt;&gt;"",NOT(ISNUMBER($F129)))),"",MAX(0,$D129-$E129-$H129-IF($F129="",'Configurações'!$B$2,$F129))))</f>
        <v/>
      </c>
      <c r="J129" s="24">
        <f>IF($A129="","",IFERROR(SUMIFS('Conciliação'!$F$6:$F$305,'Conciliação'!$B$6:$B$305,$A129,'Conciliação'!$S$6:$S$305,"OK"),0))</f>
        <v/>
      </c>
      <c r="K129" s="24">
        <f>IF(OR($I129="",$J129=""),"",MAX(0,$J129-$I129))</f>
        <v/>
      </c>
      <c r="L129" s="25">
        <f>IF($A129="","",IF($C129="Inativo",IF($J129&gt;0,"INATIVO COM PUBLICAÇÃO","INATIVO"),IF($I129="","REVISAR DADOS",IF($K129&gt;0,"EXPOSIÇÃO ACIMA DO DISPONÍVEL",IF($I129=0,"SEM SALDO DISPONÍVEL",IF($G129="","SEM DATA",IF('Configurações'!$B$5-$G129&gt;'Configurações'!$B$4,"ATUALIZAÇÃO VENCIDA","OK")))))))</f>
        <v/>
      </c>
      <c r="M129" s="25">
        <f>IF(COUNTA($A129:$G129)=0,"",IF($A129="","SKU AUSENTE",IF(COUNTIF($A$6:$A$205,$A129)&gt;1,"SKU DUPLICADO",IF($B129="","PRODUTO AUSENTE",IF(AND($C129&lt;&gt;"Ativo",$C129&lt;&gt;"Inativo"),"STATUS INVÁLIDO",IF(IFERROR(OR(NOT(ISNUMBER($D129)),$D129&lt;0,MOD($D129,1)&lt;&gt;0),TRUE),"SALDO FÍSICO INVÁLIDO",IF(IFERROR(OR(NOT(ISNUMBER($E129)),$E129&lt;0,MOD($E129,1)&lt;&gt;0),TRUE),"RESERVAS INVÁLIDAS",IF(AND($F129&lt;&gt;"",IFERROR(OR(NOT(ISNUMBER($F129)),$F129&lt;0,MOD($F129,1)&lt;&gt;0),TRUE)),"ESTOQUE DE SEGURANÇA INVÁLIDO",IF(IFERROR(OR(NOT(ISNUMBER($G129)),$G129&gt;'Configurações'!$B$5),TRUE),"DATA INVÁLIDA",IF($E129&gt;$D129,"RESERVAS MAIORES QUE O SALDO","OK"))))))))))</f>
        <v/>
      </c>
    </row>
    <row r="130">
      <c r="A130" s="21" t="n"/>
      <c r="B130" s="21" t="n"/>
      <c r="C130" s="21" t="n"/>
      <c r="D130" s="22" t="n"/>
      <c r="E130" s="22" t="n"/>
      <c r="F130" s="22" t="n"/>
      <c r="G130" s="23" t="n"/>
      <c r="H130" s="24">
        <f>IF($A130="","",IFERROR(SUMIFS('Conciliação'!$G$6:$G$305,'Conciliação'!$B$6:$B$305,$A130,'Conciliação'!$S$6:$S$305,"OK"),0))</f>
        <v/>
      </c>
      <c r="I130" s="24">
        <f>IF($A130="","",IF(OR(NOT(ISNUMBER($D130)),NOT(ISNUMBER($E130)),AND($F130&lt;&gt;"",NOT(ISNUMBER($F130)))),"",MAX(0,$D130-$E130-$H130-IF($F130="",'Configurações'!$B$2,$F130))))</f>
        <v/>
      </c>
      <c r="J130" s="24">
        <f>IF($A130="","",IFERROR(SUMIFS('Conciliação'!$F$6:$F$305,'Conciliação'!$B$6:$B$305,$A130,'Conciliação'!$S$6:$S$305,"OK"),0))</f>
        <v/>
      </c>
      <c r="K130" s="24">
        <f>IF(OR($I130="",$J130=""),"",MAX(0,$J130-$I130))</f>
        <v/>
      </c>
      <c r="L130" s="25">
        <f>IF($A130="","",IF($C130="Inativo",IF($J130&gt;0,"INATIVO COM PUBLICAÇÃO","INATIVO"),IF($I130="","REVISAR DADOS",IF($K130&gt;0,"EXPOSIÇÃO ACIMA DO DISPONÍVEL",IF($I130=0,"SEM SALDO DISPONÍVEL",IF($G130="","SEM DATA",IF('Configurações'!$B$5-$G130&gt;'Configurações'!$B$4,"ATUALIZAÇÃO VENCIDA","OK")))))))</f>
        <v/>
      </c>
      <c r="M130" s="25">
        <f>IF(COUNTA($A130:$G130)=0,"",IF($A130="","SKU AUSENTE",IF(COUNTIF($A$6:$A$205,$A130)&gt;1,"SKU DUPLICADO",IF($B130="","PRODUTO AUSENTE",IF(AND($C130&lt;&gt;"Ativo",$C130&lt;&gt;"Inativo"),"STATUS INVÁLIDO",IF(IFERROR(OR(NOT(ISNUMBER($D130)),$D130&lt;0,MOD($D130,1)&lt;&gt;0),TRUE),"SALDO FÍSICO INVÁLIDO",IF(IFERROR(OR(NOT(ISNUMBER($E130)),$E130&lt;0,MOD($E130,1)&lt;&gt;0),TRUE),"RESERVAS INVÁLIDAS",IF(AND($F130&lt;&gt;"",IFERROR(OR(NOT(ISNUMBER($F130)),$F130&lt;0,MOD($F130,1)&lt;&gt;0),TRUE)),"ESTOQUE DE SEGURANÇA INVÁLIDO",IF(IFERROR(OR(NOT(ISNUMBER($G130)),$G130&gt;'Configurações'!$B$5),TRUE),"DATA INVÁLIDA",IF($E130&gt;$D130,"RESERVAS MAIORES QUE O SALDO","OK"))))))))))</f>
        <v/>
      </c>
    </row>
    <row r="131">
      <c r="A131" s="21" t="n"/>
      <c r="B131" s="21" t="n"/>
      <c r="C131" s="21" t="n"/>
      <c r="D131" s="22" t="n"/>
      <c r="E131" s="22" t="n"/>
      <c r="F131" s="22" t="n"/>
      <c r="G131" s="23" t="n"/>
      <c r="H131" s="24">
        <f>IF($A131="","",IFERROR(SUMIFS('Conciliação'!$G$6:$G$305,'Conciliação'!$B$6:$B$305,$A131,'Conciliação'!$S$6:$S$305,"OK"),0))</f>
        <v/>
      </c>
      <c r="I131" s="24">
        <f>IF($A131="","",IF(OR(NOT(ISNUMBER($D131)),NOT(ISNUMBER($E131)),AND($F131&lt;&gt;"",NOT(ISNUMBER($F131)))),"",MAX(0,$D131-$E131-$H131-IF($F131="",'Configurações'!$B$2,$F131))))</f>
        <v/>
      </c>
      <c r="J131" s="24">
        <f>IF($A131="","",IFERROR(SUMIFS('Conciliação'!$F$6:$F$305,'Conciliação'!$B$6:$B$305,$A131,'Conciliação'!$S$6:$S$305,"OK"),0))</f>
        <v/>
      </c>
      <c r="K131" s="24">
        <f>IF(OR($I131="",$J131=""),"",MAX(0,$J131-$I131))</f>
        <v/>
      </c>
      <c r="L131" s="25">
        <f>IF($A131="","",IF($C131="Inativo",IF($J131&gt;0,"INATIVO COM PUBLICAÇÃO","INATIVO"),IF($I131="","REVISAR DADOS",IF($K131&gt;0,"EXPOSIÇÃO ACIMA DO DISPONÍVEL",IF($I131=0,"SEM SALDO DISPONÍVEL",IF($G131="","SEM DATA",IF('Configurações'!$B$5-$G131&gt;'Configurações'!$B$4,"ATUALIZAÇÃO VENCIDA","OK")))))))</f>
        <v/>
      </c>
      <c r="M131" s="25">
        <f>IF(COUNTA($A131:$G131)=0,"",IF($A131="","SKU AUSENTE",IF(COUNTIF($A$6:$A$205,$A131)&gt;1,"SKU DUPLICADO",IF($B131="","PRODUTO AUSENTE",IF(AND($C131&lt;&gt;"Ativo",$C131&lt;&gt;"Inativo"),"STATUS INVÁLIDO",IF(IFERROR(OR(NOT(ISNUMBER($D131)),$D131&lt;0,MOD($D131,1)&lt;&gt;0),TRUE),"SALDO FÍSICO INVÁLIDO",IF(IFERROR(OR(NOT(ISNUMBER($E131)),$E131&lt;0,MOD($E131,1)&lt;&gt;0),TRUE),"RESERVAS INVÁLIDAS",IF(AND($F131&lt;&gt;"",IFERROR(OR(NOT(ISNUMBER($F131)),$F131&lt;0,MOD($F131,1)&lt;&gt;0),TRUE)),"ESTOQUE DE SEGURANÇA INVÁLIDO",IF(IFERROR(OR(NOT(ISNUMBER($G131)),$G131&gt;'Configurações'!$B$5),TRUE),"DATA INVÁLIDA",IF($E131&gt;$D131,"RESERVAS MAIORES QUE O SALDO","OK"))))))))))</f>
        <v/>
      </c>
    </row>
    <row r="132">
      <c r="A132" s="21" t="n"/>
      <c r="B132" s="21" t="n"/>
      <c r="C132" s="21" t="n"/>
      <c r="D132" s="22" t="n"/>
      <c r="E132" s="22" t="n"/>
      <c r="F132" s="22" t="n"/>
      <c r="G132" s="23" t="n"/>
      <c r="H132" s="24">
        <f>IF($A132="","",IFERROR(SUMIFS('Conciliação'!$G$6:$G$305,'Conciliação'!$B$6:$B$305,$A132,'Conciliação'!$S$6:$S$305,"OK"),0))</f>
        <v/>
      </c>
      <c r="I132" s="24">
        <f>IF($A132="","",IF(OR(NOT(ISNUMBER($D132)),NOT(ISNUMBER($E132)),AND($F132&lt;&gt;"",NOT(ISNUMBER($F132)))),"",MAX(0,$D132-$E132-$H132-IF($F132="",'Configurações'!$B$2,$F132))))</f>
        <v/>
      </c>
      <c r="J132" s="24">
        <f>IF($A132="","",IFERROR(SUMIFS('Conciliação'!$F$6:$F$305,'Conciliação'!$B$6:$B$305,$A132,'Conciliação'!$S$6:$S$305,"OK"),0))</f>
        <v/>
      </c>
      <c r="K132" s="24">
        <f>IF(OR($I132="",$J132=""),"",MAX(0,$J132-$I132))</f>
        <v/>
      </c>
      <c r="L132" s="25">
        <f>IF($A132="","",IF($C132="Inativo",IF($J132&gt;0,"INATIVO COM PUBLICAÇÃO","INATIVO"),IF($I132="","REVISAR DADOS",IF($K132&gt;0,"EXPOSIÇÃO ACIMA DO DISPONÍVEL",IF($I132=0,"SEM SALDO DISPONÍVEL",IF($G132="","SEM DATA",IF('Configurações'!$B$5-$G132&gt;'Configurações'!$B$4,"ATUALIZAÇÃO VENCIDA","OK")))))))</f>
        <v/>
      </c>
      <c r="M132" s="25">
        <f>IF(COUNTA($A132:$G132)=0,"",IF($A132="","SKU AUSENTE",IF(COUNTIF($A$6:$A$205,$A132)&gt;1,"SKU DUPLICADO",IF($B132="","PRODUTO AUSENTE",IF(AND($C132&lt;&gt;"Ativo",$C132&lt;&gt;"Inativo"),"STATUS INVÁLIDO",IF(IFERROR(OR(NOT(ISNUMBER($D132)),$D132&lt;0,MOD($D132,1)&lt;&gt;0),TRUE),"SALDO FÍSICO INVÁLIDO",IF(IFERROR(OR(NOT(ISNUMBER($E132)),$E132&lt;0,MOD($E132,1)&lt;&gt;0),TRUE),"RESERVAS INVÁLIDAS",IF(AND($F132&lt;&gt;"",IFERROR(OR(NOT(ISNUMBER($F132)),$F132&lt;0,MOD($F132,1)&lt;&gt;0),TRUE)),"ESTOQUE DE SEGURANÇA INVÁLIDO",IF(IFERROR(OR(NOT(ISNUMBER($G132)),$G132&gt;'Configurações'!$B$5),TRUE),"DATA INVÁLIDA",IF($E132&gt;$D132,"RESERVAS MAIORES QUE O SALDO","OK"))))))))))</f>
        <v/>
      </c>
    </row>
    <row r="133">
      <c r="A133" s="21" t="n"/>
      <c r="B133" s="21" t="n"/>
      <c r="C133" s="21" t="n"/>
      <c r="D133" s="22" t="n"/>
      <c r="E133" s="22" t="n"/>
      <c r="F133" s="22" t="n"/>
      <c r="G133" s="23" t="n"/>
      <c r="H133" s="24">
        <f>IF($A133="","",IFERROR(SUMIFS('Conciliação'!$G$6:$G$305,'Conciliação'!$B$6:$B$305,$A133,'Conciliação'!$S$6:$S$305,"OK"),0))</f>
        <v/>
      </c>
      <c r="I133" s="24">
        <f>IF($A133="","",IF(OR(NOT(ISNUMBER($D133)),NOT(ISNUMBER($E133)),AND($F133&lt;&gt;"",NOT(ISNUMBER($F133)))),"",MAX(0,$D133-$E133-$H133-IF($F133="",'Configurações'!$B$2,$F133))))</f>
        <v/>
      </c>
      <c r="J133" s="24">
        <f>IF($A133="","",IFERROR(SUMIFS('Conciliação'!$F$6:$F$305,'Conciliação'!$B$6:$B$305,$A133,'Conciliação'!$S$6:$S$305,"OK"),0))</f>
        <v/>
      </c>
      <c r="K133" s="24">
        <f>IF(OR($I133="",$J133=""),"",MAX(0,$J133-$I133))</f>
        <v/>
      </c>
      <c r="L133" s="25">
        <f>IF($A133="","",IF($C133="Inativo",IF($J133&gt;0,"INATIVO COM PUBLICAÇÃO","INATIVO"),IF($I133="","REVISAR DADOS",IF($K133&gt;0,"EXPOSIÇÃO ACIMA DO DISPONÍVEL",IF($I133=0,"SEM SALDO DISPONÍVEL",IF($G133="","SEM DATA",IF('Configurações'!$B$5-$G133&gt;'Configurações'!$B$4,"ATUALIZAÇÃO VENCIDA","OK")))))))</f>
        <v/>
      </c>
      <c r="M133" s="25">
        <f>IF(COUNTA($A133:$G133)=0,"",IF($A133="","SKU AUSENTE",IF(COUNTIF($A$6:$A$205,$A133)&gt;1,"SKU DUPLICADO",IF($B133="","PRODUTO AUSENTE",IF(AND($C133&lt;&gt;"Ativo",$C133&lt;&gt;"Inativo"),"STATUS INVÁLIDO",IF(IFERROR(OR(NOT(ISNUMBER($D133)),$D133&lt;0,MOD($D133,1)&lt;&gt;0),TRUE),"SALDO FÍSICO INVÁLIDO",IF(IFERROR(OR(NOT(ISNUMBER($E133)),$E133&lt;0,MOD($E133,1)&lt;&gt;0),TRUE),"RESERVAS INVÁLIDAS",IF(AND($F133&lt;&gt;"",IFERROR(OR(NOT(ISNUMBER($F133)),$F133&lt;0,MOD($F133,1)&lt;&gt;0),TRUE)),"ESTOQUE DE SEGURANÇA INVÁLIDO",IF(IFERROR(OR(NOT(ISNUMBER($G133)),$G133&gt;'Configurações'!$B$5),TRUE),"DATA INVÁLIDA",IF($E133&gt;$D133,"RESERVAS MAIORES QUE O SALDO","OK"))))))))))</f>
        <v/>
      </c>
    </row>
    <row r="134">
      <c r="A134" s="21" t="n"/>
      <c r="B134" s="21" t="n"/>
      <c r="C134" s="21" t="n"/>
      <c r="D134" s="22" t="n"/>
      <c r="E134" s="22" t="n"/>
      <c r="F134" s="22" t="n"/>
      <c r="G134" s="23" t="n"/>
      <c r="H134" s="24">
        <f>IF($A134="","",IFERROR(SUMIFS('Conciliação'!$G$6:$G$305,'Conciliação'!$B$6:$B$305,$A134,'Conciliação'!$S$6:$S$305,"OK"),0))</f>
        <v/>
      </c>
      <c r="I134" s="24">
        <f>IF($A134="","",IF(OR(NOT(ISNUMBER($D134)),NOT(ISNUMBER($E134)),AND($F134&lt;&gt;"",NOT(ISNUMBER($F134)))),"",MAX(0,$D134-$E134-$H134-IF($F134="",'Configurações'!$B$2,$F134))))</f>
        <v/>
      </c>
      <c r="J134" s="24">
        <f>IF($A134="","",IFERROR(SUMIFS('Conciliação'!$F$6:$F$305,'Conciliação'!$B$6:$B$305,$A134,'Conciliação'!$S$6:$S$305,"OK"),0))</f>
        <v/>
      </c>
      <c r="K134" s="24">
        <f>IF(OR($I134="",$J134=""),"",MAX(0,$J134-$I134))</f>
        <v/>
      </c>
      <c r="L134" s="25">
        <f>IF($A134="","",IF($C134="Inativo",IF($J134&gt;0,"INATIVO COM PUBLICAÇÃO","INATIVO"),IF($I134="","REVISAR DADOS",IF($K134&gt;0,"EXPOSIÇÃO ACIMA DO DISPONÍVEL",IF($I134=0,"SEM SALDO DISPONÍVEL",IF($G134="","SEM DATA",IF('Configurações'!$B$5-$G134&gt;'Configurações'!$B$4,"ATUALIZAÇÃO VENCIDA","OK")))))))</f>
        <v/>
      </c>
      <c r="M134" s="25">
        <f>IF(COUNTA($A134:$G134)=0,"",IF($A134="","SKU AUSENTE",IF(COUNTIF($A$6:$A$205,$A134)&gt;1,"SKU DUPLICADO",IF($B134="","PRODUTO AUSENTE",IF(AND($C134&lt;&gt;"Ativo",$C134&lt;&gt;"Inativo"),"STATUS INVÁLIDO",IF(IFERROR(OR(NOT(ISNUMBER($D134)),$D134&lt;0,MOD($D134,1)&lt;&gt;0),TRUE),"SALDO FÍSICO INVÁLIDO",IF(IFERROR(OR(NOT(ISNUMBER($E134)),$E134&lt;0,MOD($E134,1)&lt;&gt;0),TRUE),"RESERVAS INVÁLIDAS",IF(AND($F134&lt;&gt;"",IFERROR(OR(NOT(ISNUMBER($F134)),$F134&lt;0,MOD($F134,1)&lt;&gt;0),TRUE)),"ESTOQUE DE SEGURANÇA INVÁLIDO",IF(IFERROR(OR(NOT(ISNUMBER($G134)),$G134&gt;'Configurações'!$B$5),TRUE),"DATA INVÁLIDA",IF($E134&gt;$D134,"RESERVAS MAIORES QUE O SALDO","OK"))))))))))</f>
        <v/>
      </c>
    </row>
    <row r="135">
      <c r="A135" s="21" t="n"/>
      <c r="B135" s="21" t="n"/>
      <c r="C135" s="21" t="n"/>
      <c r="D135" s="22" t="n"/>
      <c r="E135" s="22" t="n"/>
      <c r="F135" s="22" t="n"/>
      <c r="G135" s="23" t="n"/>
      <c r="H135" s="24">
        <f>IF($A135="","",IFERROR(SUMIFS('Conciliação'!$G$6:$G$305,'Conciliação'!$B$6:$B$305,$A135,'Conciliação'!$S$6:$S$305,"OK"),0))</f>
        <v/>
      </c>
      <c r="I135" s="24">
        <f>IF($A135="","",IF(OR(NOT(ISNUMBER($D135)),NOT(ISNUMBER($E135)),AND($F135&lt;&gt;"",NOT(ISNUMBER($F135)))),"",MAX(0,$D135-$E135-$H135-IF($F135="",'Configurações'!$B$2,$F135))))</f>
        <v/>
      </c>
      <c r="J135" s="24">
        <f>IF($A135="","",IFERROR(SUMIFS('Conciliação'!$F$6:$F$305,'Conciliação'!$B$6:$B$305,$A135,'Conciliação'!$S$6:$S$305,"OK"),0))</f>
        <v/>
      </c>
      <c r="K135" s="24">
        <f>IF(OR($I135="",$J135=""),"",MAX(0,$J135-$I135))</f>
        <v/>
      </c>
      <c r="L135" s="25">
        <f>IF($A135="","",IF($C135="Inativo",IF($J135&gt;0,"INATIVO COM PUBLICAÇÃO","INATIVO"),IF($I135="","REVISAR DADOS",IF($K135&gt;0,"EXPOSIÇÃO ACIMA DO DISPONÍVEL",IF($I135=0,"SEM SALDO DISPONÍVEL",IF($G135="","SEM DATA",IF('Configurações'!$B$5-$G135&gt;'Configurações'!$B$4,"ATUALIZAÇÃO VENCIDA","OK")))))))</f>
        <v/>
      </c>
      <c r="M135" s="25">
        <f>IF(COUNTA($A135:$G135)=0,"",IF($A135="","SKU AUSENTE",IF(COUNTIF($A$6:$A$205,$A135)&gt;1,"SKU DUPLICADO",IF($B135="","PRODUTO AUSENTE",IF(AND($C135&lt;&gt;"Ativo",$C135&lt;&gt;"Inativo"),"STATUS INVÁLIDO",IF(IFERROR(OR(NOT(ISNUMBER($D135)),$D135&lt;0,MOD($D135,1)&lt;&gt;0),TRUE),"SALDO FÍSICO INVÁLIDO",IF(IFERROR(OR(NOT(ISNUMBER($E135)),$E135&lt;0,MOD($E135,1)&lt;&gt;0),TRUE),"RESERVAS INVÁLIDAS",IF(AND($F135&lt;&gt;"",IFERROR(OR(NOT(ISNUMBER($F135)),$F135&lt;0,MOD($F135,1)&lt;&gt;0),TRUE)),"ESTOQUE DE SEGURANÇA INVÁLIDO",IF(IFERROR(OR(NOT(ISNUMBER($G135)),$G135&gt;'Configurações'!$B$5),TRUE),"DATA INVÁLIDA",IF($E135&gt;$D135,"RESERVAS MAIORES QUE O SALDO","OK"))))))))))</f>
        <v/>
      </c>
    </row>
    <row r="136">
      <c r="A136" s="21" t="n"/>
      <c r="B136" s="21" t="n"/>
      <c r="C136" s="21" t="n"/>
      <c r="D136" s="22" t="n"/>
      <c r="E136" s="22" t="n"/>
      <c r="F136" s="22" t="n"/>
      <c r="G136" s="23" t="n"/>
      <c r="H136" s="24">
        <f>IF($A136="","",IFERROR(SUMIFS('Conciliação'!$G$6:$G$305,'Conciliação'!$B$6:$B$305,$A136,'Conciliação'!$S$6:$S$305,"OK"),0))</f>
        <v/>
      </c>
      <c r="I136" s="24">
        <f>IF($A136="","",IF(OR(NOT(ISNUMBER($D136)),NOT(ISNUMBER($E136)),AND($F136&lt;&gt;"",NOT(ISNUMBER($F136)))),"",MAX(0,$D136-$E136-$H136-IF($F136="",'Configurações'!$B$2,$F136))))</f>
        <v/>
      </c>
      <c r="J136" s="24">
        <f>IF($A136="","",IFERROR(SUMIFS('Conciliação'!$F$6:$F$305,'Conciliação'!$B$6:$B$305,$A136,'Conciliação'!$S$6:$S$305,"OK"),0))</f>
        <v/>
      </c>
      <c r="K136" s="24">
        <f>IF(OR($I136="",$J136=""),"",MAX(0,$J136-$I136))</f>
        <v/>
      </c>
      <c r="L136" s="25">
        <f>IF($A136="","",IF($C136="Inativo",IF($J136&gt;0,"INATIVO COM PUBLICAÇÃO","INATIVO"),IF($I136="","REVISAR DADOS",IF($K136&gt;0,"EXPOSIÇÃO ACIMA DO DISPONÍVEL",IF($I136=0,"SEM SALDO DISPONÍVEL",IF($G136="","SEM DATA",IF('Configurações'!$B$5-$G136&gt;'Configurações'!$B$4,"ATUALIZAÇÃO VENCIDA","OK")))))))</f>
        <v/>
      </c>
      <c r="M136" s="25">
        <f>IF(COUNTA($A136:$G136)=0,"",IF($A136="","SKU AUSENTE",IF(COUNTIF($A$6:$A$205,$A136)&gt;1,"SKU DUPLICADO",IF($B136="","PRODUTO AUSENTE",IF(AND($C136&lt;&gt;"Ativo",$C136&lt;&gt;"Inativo"),"STATUS INVÁLIDO",IF(IFERROR(OR(NOT(ISNUMBER($D136)),$D136&lt;0,MOD($D136,1)&lt;&gt;0),TRUE),"SALDO FÍSICO INVÁLIDO",IF(IFERROR(OR(NOT(ISNUMBER($E136)),$E136&lt;0,MOD($E136,1)&lt;&gt;0),TRUE),"RESERVAS INVÁLIDAS",IF(AND($F136&lt;&gt;"",IFERROR(OR(NOT(ISNUMBER($F136)),$F136&lt;0,MOD($F136,1)&lt;&gt;0),TRUE)),"ESTOQUE DE SEGURANÇA INVÁLIDO",IF(IFERROR(OR(NOT(ISNUMBER($G136)),$G136&gt;'Configurações'!$B$5),TRUE),"DATA INVÁLIDA",IF($E136&gt;$D136,"RESERVAS MAIORES QUE O SALDO","OK"))))))))))</f>
        <v/>
      </c>
    </row>
    <row r="137">
      <c r="A137" s="21" t="n"/>
      <c r="B137" s="21" t="n"/>
      <c r="C137" s="21" t="n"/>
      <c r="D137" s="22" t="n"/>
      <c r="E137" s="22" t="n"/>
      <c r="F137" s="22" t="n"/>
      <c r="G137" s="23" t="n"/>
      <c r="H137" s="24">
        <f>IF($A137="","",IFERROR(SUMIFS('Conciliação'!$G$6:$G$305,'Conciliação'!$B$6:$B$305,$A137,'Conciliação'!$S$6:$S$305,"OK"),0))</f>
        <v/>
      </c>
      <c r="I137" s="24">
        <f>IF($A137="","",IF(OR(NOT(ISNUMBER($D137)),NOT(ISNUMBER($E137)),AND($F137&lt;&gt;"",NOT(ISNUMBER($F137)))),"",MAX(0,$D137-$E137-$H137-IF($F137="",'Configurações'!$B$2,$F137))))</f>
        <v/>
      </c>
      <c r="J137" s="24">
        <f>IF($A137="","",IFERROR(SUMIFS('Conciliação'!$F$6:$F$305,'Conciliação'!$B$6:$B$305,$A137,'Conciliação'!$S$6:$S$305,"OK"),0))</f>
        <v/>
      </c>
      <c r="K137" s="24">
        <f>IF(OR($I137="",$J137=""),"",MAX(0,$J137-$I137))</f>
        <v/>
      </c>
      <c r="L137" s="25">
        <f>IF($A137="","",IF($C137="Inativo",IF($J137&gt;0,"INATIVO COM PUBLICAÇÃO","INATIVO"),IF($I137="","REVISAR DADOS",IF($K137&gt;0,"EXPOSIÇÃO ACIMA DO DISPONÍVEL",IF($I137=0,"SEM SALDO DISPONÍVEL",IF($G137="","SEM DATA",IF('Configurações'!$B$5-$G137&gt;'Configurações'!$B$4,"ATUALIZAÇÃO VENCIDA","OK")))))))</f>
        <v/>
      </c>
      <c r="M137" s="25">
        <f>IF(COUNTA($A137:$G137)=0,"",IF($A137="","SKU AUSENTE",IF(COUNTIF($A$6:$A$205,$A137)&gt;1,"SKU DUPLICADO",IF($B137="","PRODUTO AUSENTE",IF(AND($C137&lt;&gt;"Ativo",$C137&lt;&gt;"Inativo"),"STATUS INVÁLIDO",IF(IFERROR(OR(NOT(ISNUMBER($D137)),$D137&lt;0,MOD($D137,1)&lt;&gt;0),TRUE),"SALDO FÍSICO INVÁLIDO",IF(IFERROR(OR(NOT(ISNUMBER($E137)),$E137&lt;0,MOD($E137,1)&lt;&gt;0),TRUE),"RESERVAS INVÁLIDAS",IF(AND($F137&lt;&gt;"",IFERROR(OR(NOT(ISNUMBER($F137)),$F137&lt;0,MOD($F137,1)&lt;&gt;0),TRUE)),"ESTOQUE DE SEGURANÇA INVÁLIDO",IF(IFERROR(OR(NOT(ISNUMBER($G137)),$G137&gt;'Configurações'!$B$5),TRUE),"DATA INVÁLIDA",IF($E137&gt;$D137,"RESERVAS MAIORES QUE O SALDO","OK"))))))))))</f>
        <v/>
      </c>
    </row>
    <row r="138">
      <c r="A138" s="21" t="n"/>
      <c r="B138" s="21" t="n"/>
      <c r="C138" s="21" t="n"/>
      <c r="D138" s="22" t="n"/>
      <c r="E138" s="22" t="n"/>
      <c r="F138" s="22" t="n"/>
      <c r="G138" s="23" t="n"/>
      <c r="H138" s="24">
        <f>IF($A138="","",IFERROR(SUMIFS('Conciliação'!$G$6:$G$305,'Conciliação'!$B$6:$B$305,$A138,'Conciliação'!$S$6:$S$305,"OK"),0))</f>
        <v/>
      </c>
      <c r="I138" s="24">
        <f>IF($A138="","",IF(OR(NOT(ISNUMBER($D138)),NOT(ISNUMBER($E138)),AND($F138&lt;&gt;"",NOT(ISNUMBER($F138)))),"",MAX(0,$D138-$E138-$H138-IF($F138="",'Configurações'!$B$2,$F138))))</f>
        <v/>
      </c>
      <c r="J138" s="24">
        <f>IF($A138="","",IFERROR(SUMIFS('Conciliação'!$F$6:$F$305,'Conciliação'!$B$6:$B$305,$A138,'Conciliação'!$S$6:$S$305,"OK"),0))</f>
        <v/>
      </c>
      <c r="K138" s="24">
        <f>IF(OR($I138="",$J138=""),"",MAX(0,$J138-$I138))</f>
        <v/>
      </c>
      <c r="L138" s="25">
        <f>IF($A138="","",IF($C138="Inativo",IF($J138&gt;0,"INATIVO COM PUBLICAÇÃO","INATIVO"),IF($I138="","REVISAR DADOS",IF($K138&gt;0,"EXPOSIÇÃO ACIMA DO DISPONÍVEL",IF($I138=0,"SEM SALDO DISPONÍVEL",IF($G138="","SEM DATA",IF('Configurações'!$B$5-$G138&gt;'Configurações'!$B$4,"ATUALIZAÇÃO VENCIDA","OK")))))))</f>
        <v/>
      </c>
      <c r="M138" s="25">
        <f>IF(COUNTA($A138:$G138)=0,"",IF($A138="","SKU AUSENTE",IF(COUNTIF($A$6:$A$205,$A138)&gt;1,"SKU DUPLICADO",IF($B138="","PRODUTO AUSENTE",IF(AND($C138&lt;&gt;"Ativo",$C138&lt;&gt;"Inativo"),"STATUS INVÁLIDO",IF(IFERROR(OR(NOT(ISNUMBER($D138)),$D138&lt;0,MOD($D138,1)&lt;&gt;0),TRUE),"SALDO FÍSICO INVÁLIDO",IF(IFERROR(OR(NOT(ISNUMBER($E138)),$E138&lt;0,MOD($E138,1)&lt;&gt;0),TRUE),"RESERVAS INVÁLIDAS",IF(AND($F138&lt;&gt;"",IFERROR(OR(NOT(ISNUMBER($F138)),$F138&lt;0,MOD($F138,1)&lt;&gt;0),TRUE)),"ESTOQUE DE SEGURANÇA INVÁLIDO",IF(IFERROR(OR(NOT(ISNUMBER($G138)),$G138&gt;'Configurações'!$B$5),TRUE),"DATA INVÁLIDA",IF($E138&gt;$D138,"RESERVAS MAIORES QUE O SALDO","OK"))))))))))</f>
        <v/>
      </c>
    </row>
    <row r="139">
      <c r="A139" s="21" t="n"/>
      <c r="B139" s="21" t="n"/>
      <c r="C139" s="21" t="n"/>
      <c r="D139" s="22" t="n"/>
      <c r="E139" s="22" t="n"/>
      <c r="F139" s="22" t="n"/>
      <c r="G139" s="23" t="n"/>
      <c r="H139" s="24">
        <f>IF($A139="","",IFERROR(SUMIFS('Conciliação'!$G$6:$G$305,'Conciliação'!$B$6:$B$305,$A139,'Conciliação'!$S$6:$S$305,"OK"),0))</f>
        <v/>
      </c>
      <c r="I139" s="24">
        <f>IF($A139="","",IF(OR(NOT(ISNUMBER($D139)),NOT(ISNUMBER($E139)),AND($F139&lt;&gt;"",NOT(ISNUMBER($F139)))),"",MAX(0,$D139-$E139-$H139-IF($F139="",'Configurações'!$B$2,$F139))))</f>
        <v/>
      </c>
      <c r="J139" s="24">
        <f>IF($A139="","",IFERROR(SUMIFS('Conciliação'!$F$6:$F$305,'Conciliação'!$B$6:$B$305,$A139,'Conciliação'!$S$6:$S$305,"OK"),0))</f>
        <v/>
      </c>
      <c r="K139" s="24">
        <f>IF(OR($I139="",$J139=""),"",MAX(0,$J139-$I139))</f>
        <v/>
      </c>
      <c r="L139" s="25">
        <f>IF($A139="","",IF($C139="Inativo",IF($J139&gt;0,"INATIVO COM PUBLICAÇÃO","INATIVO"),IF($I139="","REVISAR DADOS",IF($K139&gt;0,"EXPOSIÇÃO ACIMA DO DISPONÍVEL",IF($I139=0,"SEM SALDO DISPONÍVEL",IF($G139="","SEM DATA",IF('Configurações'!$B$5-$G139&gt;'Configurações'!$B$4,"ATUALIZAÇÃO VENCIDA","OK")))))))</f>
        <v/>
      </c>
      <c r="M139" s="25">
        <f>IF(COUNTA($A139:$G139)=0,"",IF($A139="","SKU AUSENTE",IF(COUNTIF($A$6:$A$205,$A139)&gt;1,"SKU DUPLICADO",IF($B139="","PRODUTO AUSENTE",IF(AND($C139&lt;&gt;"Ativo",$C139&lt;&gt;"Inativo"),"STATUS INVÁLIDO",IF(IFERROR(OR(NOT(ISNUMBER($D139)),$D139&lt;0,MOD($D139,1)&lt;&gt;0),TRUE),"SALDO FÍSICO INVÁLIDO",IF(IFERROR(OR(NOT(ISNUMBER($E139)),$E139&lt;0,MOD($E139,1)&lt;&gt;0),TRUE),"RESERVAS INVÁLIDAS",IF(AND($F139&lt;&gt;"",IFERROR(OR(NOT(ISNUMBER($F139)),$F139&lt;0,MOD($F139,1)&lt;&gt;0),TRUE)),"ESTOQUE DE SEGURANÇA INVÁLIDO",IF(IFERROR(OR(NOT(ISNUMBER($G139)),$G139&gt;'Configurações'!$B$5),TRUE),"DATA INVÁLIDA",IF($E139&gt;$D139,"RESERVAS MAIORES QUE O SALDO","OK"))))))))))</f>
        <v/>
      </c>
    </row>
    <row r="140">
      <c r="A140" s="21" t="n"/>
      <c r="B140" s="21" t="n"/>
      <c r="C140" s="21" t="n"/>
      <c r="D140" s="22" t="n"/>
      <c r="E140" s="22" t="n"/>
      <c r="F140" s="22" t="n"/>
      <c r="G140" s="23" t="n"/>
      <c r="H140" s="24">
        <f>IF($A140="","",IFERROR(SUMIFS('Conciliação'!$G$6:$G$305,'Conciliação'!$B$6:$B$305,$A140,'Conciliação'!$S$6:$S$305,"OK"),0))</f>
        <v/>
      </c>
      <c r="I140" s="24">
        <f>IF($A140="","",IF(OR(NOT(ISNUMBER($D140)),NOT(ISNUMBER($E140)),AND($F140&lt;&gt;"",NOT(ISNUMBER($F140)))),"",MAX(0,$D140-$E140-$H140-IF($F140="",'Configurações'!$B$2,$F140))))</f>
        <v/>
      </c>
      <c r="J140" s="24">
        <f>IF($A140="","",IFERROR(SUMIFS('Conciliação'!$F$6:$F$305,'Conciliação'!$B$6:$B$305,$A140,'Conciliação'!$S$6:$S$305,"OK"),0))</f>
        <v/>
      </c>
      <c r="K140" s="24">
        <f>IF(OR($I140="",$J140=""),"",MAX(0,$J140-$I140))</f>
        <v/>
      </c>
      <c r="L140" s="25">
        <f>IF($A140="","",IF($C140="Inativo",IF($J140&gt;0,"INATIVO COM PUBLICAÇÃO","INATIVO"),IF($I140="","REVISAR DADOS",IF($K140&gt;0,"EXPOSIÇÃO ACIMA DO DISPONÍVEL",IF($I140=0,"SEM SALDO DISPONÍVEL",IF($G140="","SEM DATA",IF('Configurações'!$B$5-$G140&gt;'Configurações'!$B$4,"ATUALIZAÇÃO VENCIDA","OK")))))))</f>
        <v/>
      </c>
      <c r="M140" s="25">
        <f>IF(COUNTA($A140:$G140)=0,"",IF($A140="","SKU AUSENTE",IF(COUNTIF($A$6:$A$205,$A140)&gt;1,"SKU DUPLICADO",IF($B140="","PRODUTO AUSENTE",IF(AND($C140&lt;&gt;"Ativo",$C140&lt;&gt;"Inativo"),"STATUS INVÁLIDO",IF(IFERROR(OR(NOT(ISNUMBER($D140)),$D140&lt;0,MOD($D140,1)&lt;&gt;0),TRUE),"SALDO FÍSICO INVÁLIDO",IF(IFERROR(OR(NOT(ISNUMBER($E140)),$E140&lt;0,MOD($E140,1)&lt;&gt;0),TRUE),"RESERVAS INVÁLIDAS",IF(AND($F140&lt;&gt;"",IFERROR(OR(NOT(ISNUMBER($F140)),$F140&lt;0,MOD($F140,1)&lt;&gt;0),TRUE)),"ESTOQUE DE SEGURANÇA INVÁLIDO",IF(IFERROR(OR(NOT(ISNUMBER($G140)),$G140&gt;'Configurações'!$B$5),TRUE),"DATA INVÁLIDA",IF($E140&gt;$D140,"RESERVAS MAIORES QUE O SALDO","OK"))))))))))</f>
        <v/>
      </c>
    </row>
    <row r="141">
      <c r="A141" s="21" t="n"/>
      <c r="B141" s="21" t="n"/>
      <c r="C141" s="21" t="n"/>
      <c r="D141" s="22" t="n"/>
      <c r="E141" s="22" t="n"/>
      <c r="F141" s="22" t="n"/>
      <c r="G141" s="23" t="n"/>
      <c r="H141" s="24">
        <f>IF($A141="","",IFERROR(SUMIFS('Conciliação'!$G$6:$G$305,'Conciliação'!$B$6:$B$305,$A141,'Conciliação'!$S$6:$S$305,"OK"),0))</f>
        <v/>
      </c>
      <c r="I141" s="24">
        <f>IF($A141="","",IF(OR(NOT(ISNUMBER($D141)),NOT(ISNUMBER($E141)),AND($F141&lt;&gt;"",NOT(ISNUMBER($F141)))),"",MAX(0,$D141-$E141-$H141-IF($F141="",'Configurações'!$B$2,$F141))))</f>
        <v/>
      </c>
      <c r="J141" s="24">
        <f>IF($A141="","",IFERROR(SUMIFS('Conciliação'!$F$6:$F$305,'Conciliação'!$B$6:$B$305,$A141,'Conciliação'!$S$6:$S$305,"OK"),0))</f>
        <v/>
      </c>
      <c r="K141" s="24">
        <f>IF(OR($I141="",$J141=""),"",MAX(0,$J141-$I141))</f>
        <v/>
      </c>
      <c r="L141" s="25">
        <f>IF($A141="","",IF($C141="Inativo",IF($J141&gt;0,"INATIVO COM PUBLICAÇÃO","INATIVO"),IF($I141="","REVISAR DADOS",IF($K141&gt;0,"EXPOSIÇÃO ACIMA DO DISPONÍVEL",IF($I141=0,"SEM SALDO DISPONÍVEL",IF($G141="","SEM DATA",IF('Configurações'!$B$5-$G141&gt;'Configurações'!$B$4,"ATUALIZAÇÃO VENCIDA","OK")))))))</f>
        <v/>
      </c>
      <c r="M141" s="25">
        <f>IF(COUNTA($A141:$G141)=0,"",IF($A141="","SKU AUSENTE",IF(COUNTIF($A$6:$A$205,$A141)&gt;1,"SKU DUPLICADO",IF($B141="","PRODUTO AUSENTE",IF(AND($C141&lt;&gt;"Ativo",$C141&lt;&gt;"Inativo"),"STATUS INVÁLIDO",IF(IFERROR(OR(NOT(ISNUMBER($D141)),$D141&lt;0,MOD($D141,1)&lt;&gt;0),TRUE),"SALDO FÍSICO INVÁLIDO",IF(IFERROR(OR(NOT(ISNUMBER($E141)),$E141&lt;0,MOD($E141,1)&lt;&gt;0),TRUE),"RESERVAS INVÁLIDAS",IF(AND($F141&lt;&gt;"",IFERROR(OR(NOT(ISNUMBER($F141)),$F141&lt;0,MOD($F141,1)&lt;&gt;0),TRUE)),"ESTOQUE DE SEGURANÇA INVÁLIDO",IF(IFERROR(OR(NOT(ISNUMBER($G141)),$G141&gt;'Configurações'!$B$5),TRUE),"DATA INVÁLIDA",IF($E141&gt;$D141,"RESERVAS MAIORES QUE O SALDO","OK"))))))))))</f>
        <v/>
      </c>
    </row>
    <row r="142">
      <c r="A142" s="21" t="n"/>
      <c r="B142" s="21" t="n"/>
      <c r="C142" s="21" t="n"/>
      <c r="D142" s="22" t="n"/>
      <c r="E142" s="22" t="n"/>
      <c r="F142" s="22" t="n"/>
      <c r="G142" s="23" t="n"/>
      <c r="H142" s="24">
        <f>IF($A142="","",IFERROR(SUMIFS('Conciliação'!$G$6:$G$305,'Conciliação'!$B$6:$B$305,$A142,'Conciliação'!$S$6:$S$305,"OK"),0))</f>
        <v/>
      </c>
      <c r="I142" s="24">
        <f>IF($A142="","",IF(OR(NOT(ISNUMBER($D142)),NOT(ISNUMBER($E142)),AND($F142&lt;&gt;"",NOT(ISNUMBER($F142)))),"",MAX(0,$D142-$E142-$H142-IF($F142="",'Configurações'!$B$2,$F142))))</f>
        <v/>
      </c>
      <c r="J142" s="24">
        <f>IF($A142="","",IFERROR(SUMIFS('Conciliação'!$F$6:$F$305,'Conciliação'!$B$6:$B$305,$A142,'Conciliação'!$S$6:$S$305,"OK"),0))</f>
        <v/>
      </c>
      <c r="K142" s="24">
        <f>IF(OR($I142="",$J142=""),"",MAX(0,$J142-$I142))</f>
        <v/>
      </c>
      <c r="L142" s="25">
        <f>IF($A142="","",IF($C142="Inativo",IF($J142&gt;0,"INATIVO COM PUBLICAÇÃO","INATIVO"),IF($I142="","REVISAR DADOS",IF($K142&gt;0,"EXPOSIÇÃO ACIMA DO DISPONÍVEL",IF($I142=0,"SEM SALDO DISPONÍVEL",IF($G142="","SEM DATA",IF('Configurações'!$B$5-$G142&gt;'Configurações'!$B$4,"ATUALIZAÇÃO VENCIDA","OK")))))))</f>
        <v/>
      </c>
      <c r="M142" s="25">
        <f>IF(COUNTA($A142:$G142)=0,"",IF($A142="","SKU AUSENTE",IF(COUNTIF($A$6:$A$205,$A142)&gt;1,"SKU DUPLICADO",IF($B142="","PRODUTO AUSENTE",IF(AND($C142&lt;&gt;"Ativo",$C142&lt;&gt;"Inativo"),"STATUS INVÁLIDO",IF(IFERROR(OR(NOT(ISNUMBER($D142)),$D142&lt;0,MOD($D142,1)&lt;&gt;0),TRUE),"SALDO FÍSICO INVÁLIDO",IF(IFERROR(OR(NOT(ISNUMBER($E142)),$E142&lt;0,MOD($E142,1)&lt;&gt;0),TRUE),"RESERVAS INVÁLIDAS",IF(AND($F142&lt;&gt;"",IFERROR(OR(NOT(ISNUMBER($F142)),$F142&lt;0,MOD($F142,1)&lt;&gt;0),TRUE)),"ESTOQUE DE SEGURANÇA INVÁLIDO",IF(IFERROR(OR(NOT(ISNUMBER($G142)),$G142&gt;'Configurações'!$B$5),TRUE),"DATA INVÁLIDA",IF($E142&gt;$D142,"RESERVAS MAIORES QUE O SALDO","OK"))))))))))</f>
        <v/>
      </c>
    </row>
    <row r="143">
      <c r="A143" s="21" t="n"/>
      <c r="B143" s="21" t="n"/>
      <c r="C143" s="21" t="n"/>
      <c r="D143" s="22" t="n"/>
      <c r="E143" s="22" t="n"/>
      <c r="F143" s="22" t="n"/>
      <c r="G143" s="23" t="n"/>
      <c r="H143" s="24">
        <f>IF($A143="","",IFERROR(SUMIFS('Conciliação'!$G$6:$G$305,'Conciliação'!$B$6:$B$305,$A143,'Conciliação'!$S$6:$S$305,"OK"),0))</f>
        <v/>
      </c>
      <c r="I143" s="24">
        <f>IF($A143="","",IF(OR(NOT(ISNUMBER($D143)),NOT(ISNUMBER($E143)),AND($F143&lt;&gt;"",NOT(ISNUMBER($F143)))),"",MAX(0,$D143-$E143-$H143-IF($F143="",'Configurações'!$B$2,$F143))))</f>
        <v/>
      </c>
      <c r="J143" s="24">
        <f>IF($A143="","",IFERROR(SUMIFS('Conciliação'!$F$6:$F$305,'Conciliação'!$B$6:$B$305,$A143,'Conciliação'!$S$6:$S$305,"OK"),0))</f>
        <v/>
      </c>
      <c r="K143" s="24">
        <f>IF(OR($I143="",$J143=""),"",MAX(0,$J143-$I143))</f>
        <v/>
      </c>
      <c r="L143" s="25">
        <f>IF($A143="","",IF($C143="Inativo",IF($J143&gt;0,"INATIVO COM PUBLICAÇÃO","INATIVO"),IF($I143="","REVISAR DADOS",IF($K143&gt;0,"EXPOSIÇÃO ACIMA DO DISPONÍVEL",IF($I143=0,"SEM SALDO DISPONÍVEL",IF($G143="","SEM DATA",IF('Configurações'!$B$5-$G143&gt;'Configurações'!$B$4,"ATUALIZAÇÃO VENCIDA","OK")))))))</f>
        <v/>
      </c>
      <c r="M143" s="25">
        <f>IF(COUNTA($A143:$G143)=0,"",IF($A143="","SKU AUSENTE",IF(COUNTIF($A$6:$A$205,$A143)&gt;1,"SKU DUPLICADO",IF($B143="","PRODUTO AUSENTE",IF(AND($C143&lt;&gt;"Ativo",$C143&lt;&gt;"Inativo"),"STATUS INVÁLIDO",IF(IFERROR(OR(NOT(ISNUMBER($D143)),$D143&lt;0,MOD($D143,1)&lt;&gt;0),TRUE),"SALDO FÍSICO INVÁLIDO",IF(IFERROR(OR(NOT(ISNUMBER($E143)),$E143&lt;0,MOD($E143,1)&lt;&gt;0),TRUE),"RESERVAS INVÁLIDAS",IF(AND($F143&lt;&gt;"",IFERROR(OR(NOT(ISNUMBER($F143)),$F143&lt;0,MOD($F143,1)&lt;&gt;0),TRUE)),"ESTOQUE DE SEGURANÇA INVÁLIDO",IF(IFERROR(OR(NOT(ISNUMBER($G143)),$G143&gt;'Configurações'!$B$5),TRUE),"DATA INVÁLIDA",IF($E143&gt;$D143,"RESERVAS MAIORES QUE O SALDO","OK"))))))))))</f>
        <v/>
      </c>
    </row>
    <row r="144">
      <c r="A144" s="21" t="n"/>
      <c r="B144" s="21" t="n"/>
      <c r="C144" s="21" t="n"/>
      <c r="D144" s="22" t="n"/>
      <c r="E144" s="22" t="n"/>
      <c r="F144" s="22" t="n"/>
      <c r="G144" s="23" t="n"/>
      <c r="H144" s="24">
        <f>IF($A144="","",IFERROR(SUMIFS('Conciliação'!$G$6:$G$305,'Conciliação'!$B$6:$B$305,$A144,'Conciliação'!$S$6:$S$305,"OK"),0))</f>
        <v/>
      </c>
      <c r="I144" s="24">
        <f>IF($A144="","",IF(OR(NOT(ISNUMBER($D144)),NOT(ISNUMBER($E144)),AND($F144&lt;&gt;"",NOT(ISNUMBER($F144)))),"",MAX(0,$D144-$E144-$H144-IF($F144="",'Configurações'!$B$2,$F144))))</f>
        <v/>
      </c>
      <c r="J144" s="24">
        <f>IF($A144="","",IFERROR(SUMIFS('Conciliação'!$F$6:$F$305,'Conciliação'!$B$6:$B$305,$A144,'Conciliação'!$S$6:$S$305,"OK"),0))</f>
        <v/>
      </c>
      <c r="K144" s="24">
        <f>IF(OR($I144="",$J144=""),"",MAX(0,$J144-$I144))</f>
        <v/>
      </c>
      <c r="L144" s="25">
        <f>IF($A144="","",IF($C144="Inativo",IF($J144&gt;0,"INATIVO COM PUBLICAÇÃO","INATIVO"),IF($I144="","REVISAR DADOS",IF($K144&gt;0,"EXPOSIÇÃO ACIMA DO DISPONÍVEL",IF($I144=0,"SEM SALDO DISPONÍVEL",IF($G144="","SEM DATA",IF('Configurações'!$B$5-$G144&gt;'Configurações'!$B$4,"ATUALIZAÇÃO VENCIDA","OK")))))))</f>
        <v/>
      </c>
      <c r="M144" s="25">
        <f>IF(COUNTA($A144:$G144)=0,"",IF($A144="","SKU AUSENTE",IF(COUNTIF($A$6:$A$205,$A144)&gt;1,"SKU DUPLICADO",IF($B144="","PRODUTO AUSENTE",IF(AND($C144&lt;&gt;"Ativo",$C144&lt;&gt;"Inativo"),"STATUS INVÁLIDO",IF(IFERROR(OR(NOT(ISNUMBER($D144)),$D144&lt;0,MOD($D144,1)&lt;&gt;0),TRUE),"SALDO FÍSICO INVÁLIDO",IF(IFERROR(OR(NOT(ISNUMBER($E144)),$E144&lt;0,MOD($E144,1)&lt;&gt;0),TRUE),"RESERVAS INVÁLIDAS",IF(AND($F144&lt;&gt;"",IFERROR(OR(NOT(ISNUMBER($F144)),$F144&lt;0,MOD($F144,1)&lt;&gt;0),TRUE)),"ESTOQUE DE SEGURANÇA INVÁLIDO",IF(IFERROR(OR(NOT(ISNUMBER($G144)),$G144&gt;'Configurações'!$B$5),TRUE),"DATA INVÁLIDA",IF($E144&gt;$D144,"RESERVAS MAIORES QUE O SALDO","OK"))))))))))</f>
        <v/>
      </c>
    </row>
    <row r="145">
      <c r="A145" s="21" t="n"/>
      <c r="B145" s="21" t="n"/>
      <c r="C145" s="21" t="n"/>
      <c r="D145" s="22" t="n"/>
      <c r="E145" s="22" t="n"/>
      <c r="F145" s="22" t="n"/>
      <c r="G145" s="23" t="n"/>
      <c r="H145" s="24">
        <f>IF($A145="","",IFERROR(SUMIFS('Conciliação'!$G$6:$G$305,'Conciliação'!$B$6:$B$305,$A145,'Conciliação'!$S$6:$S$305,"OK"),0))</f>
        <v/>
      </c>
      <c r="I145" s="24">
        <f>IF($A145="","",IF(OR(NOT(ISNUMBER($D145)),NOT(ISNUMBER($E145)),AND($F145&lt;&gt;"",NOT(ISNUMBER($F145)))),"",MAX(0,$D145-$E145-$H145-IF($F145="",'Configurações'!$B$2,$F145))))</f>
        <v/>
      </c>
      <c r="J145" s="24">
        <f>IF($A145="","",IFERROR(SUMIFS('Conciliação'!$F$6:$F$305,'Conciliação'!$B$6:$B$305,$A145,'Conciliação'!$S$6:$S$305,"OK"),0))</f>
        <v/>
      </c>
      <c r="K145" s="24">
        <f>IF(OR($I145="",$J145=""),"",MAX(0,$J145-$I145))</f>
        <v/>
      </c>
      <c r="L145" s="25">
        <f>IF($A145="","",IF($C145="Inativo",IF($J145&gt;0,"INATIVO COM PUBLICAÇÃO","INATIVO"),IF($I145="","REVISAR DADOS",IF($K145&gt;0,"EXPOSIÇÃO ACIMA DO DISPONÍVEL",IF($I145=0,"SEM SALDO DISPONÍVEL",IF($G145="","SEM DATA",IF('Configurações'!$B$5-$G145&gt;'Configurações'!$B$4,"ATUALIZAÇÃO VENCIDA","OK")))))))</f>
        <v/>
      </c>
      <c r="M145" s="25">
        <f>IF(COUNTA($A145:$G145)=0,"",IF($A145="","SKU AUSENTE",IF(COUNTIF($A$6:$A$205,$A145)&gt;1,"SKU DUPLICADO",IF($B145="","PRODUTO AUSENTE",IF(AND($C145&lt;&gt;"Ativo",$C145&lt;&gt;"Inativo"),"STATUS INVÁLIDO",IF(IFERROR(OR(NOT(ISNUMBER($D145)),$D145&lt;0,MOD($D145,1)&lt;&gt;0),TRUE),"SALDO FÍSICO INVÁLIDO",IF(IFERROR(OR(NOT(ISNUMBER($E145)),$E145&lt;0,MOD($E145,1)&lt;&gt;0),TRUE),"RESERVAS INVÁLIDAS",IF(AND($F145&lt;&gt;"",IFERROR(OR(NOT(ISNUMBER($F145)),$F145&lt;0,MOD($F145,1)&lt;&gt;0),TRUE)),"ESTOQUE DE SEGURANÇA INVÁLIDO",IF(IFERROR(OR(NOT(ISNUMBER($G145)),$G145&gt;'Configurações'!$B$5),TRUE),"DATA INVÁLIDA",IF($E145&gt;$D145,"RESERVAS MAIORES QUE O SALDO","OK"))))))))))</f>
        <v/>
      </c>
    </row>
    <row r="146">
      <c r="A146" s="21" t="n"/>
      <c r="B146" s="21" t="n"/>
      <c r="C146" s="21" t="n"/>
      <c r="D146" s="22" t="n"/>
      <c r="E146" s="22" t="n"/>
      <c r="F146" s="22" t="n"/>
      <c r="G146" s="23" t="n"/>
      <c r="H146" s="24">
        <f>IF($A146="","",IFERROR(SUMIFS('Conciliação'!$G$6:$G$305,'Conciliação'!$B$6:$B$305,$A146,'Conciliação'!$S$6:$S$305,"OK"),0))</f>
        <v/>
      </c>
      <c r="I146" s="24">
        <f>IF($A146="","",IF(OR(NOT(ISNUMBER($D146)),NOT(ISNUMBER($E146)),AND($F146&lt;&gt;"",NOT(ISNUMBER($F146)))),"",MAX(0,$D146-$E146-$H146-IF($F146="",'Configurações'!$B$2,$F146))))</f>
        <v/>
      </c>
      <c r="J146" s="24">
        <f>IF($A146="","",IFERROR(SUMIFS('Conciliação'!$F$6:$F$305,'Conciliação'!$B$6:$B$305,$A146,'Conciliação'!$S$6:$S$305,"OK"),0))</f>
        <v/>
      </c>
      <c r="K146" s="24">
        <f>IF(OR($I146="",$J146=""),"",MAX(0,$J146-$I146))</f>
        <v/>
      </c>
      <c r="L146" s="25">
        <f>IF($A146="","",IF($C146="Inativo",IF($J146&gt;0,"INATIVO COM PUBLICAÇÃO","INATIVO"),IF($I146="","REVISAR DADOS",IF($K146&gt;0,"EXPOSIÇÃO ACIMA DO DISPONÍVEL",IF($I146=0,"SEM SALDO DISPONÍVEL",IF($G146="","SEM DATA",IF('Configurações'!$B$5-$G146&gt;'Configurações'!$B$4,"ATUALIZAÇÃO VENCIDA","OK")))))))</f>
        <v/>
      </c>
      <c r="M146" s="25">
        <f>IF(COUNTA($A146:$G146)=0,"",IF($A146="","SKU AUSENTE",IF(COUNTIF($A$6:$A$205,$A146)&gt;1,"SKU DUPLICADO",IF($B146="","PRODUTO AUSENTE",IF(AND($C146&lt;&gt;"Ativo",$C146&lt;&gt;"Inativo"),"STATUS INVÁLIDO",IF(IFERROR(OR(NOT(ISNUMBER($D146)),$D146&lt;0,MOD($D146,1)&lt;&gt;0),TRUE),"SALDO FÍSICO INVÁLIDO",IF(IFERROR(OR(NOT(ISNUMBER($E146)),$E146&lt;0,MOD($E146,1)&lt;&gt;0),TRUE),"RESERVAS INVÁLIDAS",IF(AND($F146&lt;&gt;"",IFERROR(OR(NOT(ISNUMBER($F146)),$F146&lt;0,MOD($F146,1)&lt;&gt;0),TRUE)),"ESTOQUE DE SEGURANÇA INVÁLIDO",IF(IFERROR(OR(NOT(ISNUMBER($G146)),$G146&gt;'Configurações'!$B$5),TRUE),"DATA INVÁLIDA",IF($E146&gt;$D146,"RESERVAS MAIORES QUE O SALDO","OK"))))))))))</f>
        <v/>
      </c>
    </row>
    <row r="147">
      <c r="A147" s="21" t="n"/>
      <c r="B147" s="21" t="n"/>
      <c r="C147" s="21" t="n"/>
      <c r="D147" s="22" t="n"/>
      <c r="E147" s="22" t="n"/>
      <c r="F147" s="22" t="n"/>
      <c r="G147" s="23" t="n"/>
      <c r="H147" s="24">
        <f>IF($A147="","",IFERROR(SUMIFS('Conciliação'!$G$6:$G$305,'Conciliação'!$B$6:$B$305,$A147,'Conciliação'!$S$6:$S$305,"OK"),0))</f>
        <v/>
      </c>
      <c r="I147" s="24">
        <f>IF($A147="","",IF(OR(NOT(ISNUMBER($D147)),NOT(ISNUMBER($E147)),AND($F147&lt;&gt;"",NOT(ISNUMBER($F147)))),"",MAX(0,$D147-$E147-$H147-IF($F147="",'Configurações'!$B$2,$F147))))</f>
        <v/>
      </c>
      <c r="J147" s="24">
        <f>IF($A147="","",IFERROR(SUMIFS('Conciliação'!$F$6:$F$305,'Conciliação'!$B$6:$B$305,$A147,'Conciliação'!$S$6:$S$305,"OK"),0))</f>
        <v/>
      </c>
      <c r="K147" s="24">
        <f>IF(OR($I147="",$J147=""),"",MAX(0,$J147-$I147))</f>
        <v/>
      </c>
      <c r="L147" s="25">
        <f>IF($A147="","",IF($C147="Inativo",IF($J147&gt;0,"INATIVO COM PUBLICAÇÃO","INATIVO"),IF($I147="","REVISAR DADOS",IF($K147&gt;0,"EXPOSIÇÃO ACIMA DO DISPONÍVEL",IF($I147=0,"SEM SALDO DISPONÍVEL",IF($G147="","SEM DATA",IF('Configurações'!$B$5-$G147&gt;'Configurações'!$B$4,"ATUALIZAÇÃO VENCIDA","OK")))))))</f>
        <v/>
      </c>
      <c r="M147" s="25">
        <f>IF(COUNTA($A147:$G147)=0,"",IF($A147="","SKU AUSENTE",IF(COUNTIF($A$6:$A$205,$A147)&gt;1,"SKU DUPLICADO",IF($B147="","PRODUTO AUSENTE",IF(AND($C147&lt;&gt;"Ativo",$C147&lt;&gt;"Inativo"),"STATUS INVÁLIDO",IF(IFERROR(OR(NOT(ISNUMBER($D147)),$D147&lt;0,MOD($D147,1)&lt;&gt;0),TRUE),"SALDO FÍSICO INVÁLIDO",IF(IFERROR(OR(NOT(ISNUMBER($E147)),$E147&lt;0,MOD($E147,1)&lt;&gt;0),TRUE),"RESERVAS INVÁLIDAS",IF(AND($F147&lt;&gt;"",IFERROR(OR(NOT(ISNUMBER($F147)),$F147&lt;0,MOD($F147,1)&lt;&gt;0),TRUE)),"ESTOQUE DE SEGURANÇA INVÁLIDO",IF(IFERROR(OR(NOT(ISNUMBER($G147)),$G147&gt;'Configurações'!$B$5),TRUE),"DATA INVÁLIDA",IF($E147&gt;$D147,"RESERVAS MAIORES QUE O SALDO","OK"))))))))))</f>
        <v/>
      </c>
    </row>
    <row r="148">
      <c r="A148" s="21" t="n"/>
      <c r="B148" s="21" t="n"/>
      <c r="C148" s="21" t="n"/>
      <c r="D148" s="22" t="n"/>
      <c r="E148" s="22" t="n"/>
      <c r="F148" s="22" t="n"/>
      <c r="G148" s="23" t="n"/>
      <c r="H148" s="24">
        <f>IF($A148="","",IFERROR(SUMIFS('Conciliação'!$G$6:$G$305,'Conciliação'!$B$6:$B$305,$A148,'Conciliação'!$S$6:$S$305,"OK"),0))</f>
        <v/>
      </c>
      <c r="I148" s="24">
        <f>IF($A148="","",IF(OR(NOT(ISNUMBER($D148)),NOT(ISNUMBER($E148)),AND($F148&lt;&gt;"",NOT(ISNUMBER($F148)))),"",MAX(0,$D148-$E148-$H148-IF($F148="",'Configurações'!$B$2,$F148))))</f>
        <v/>
      </c>
      <c r="J148" s="24">
        <f>IF($A148="","",IFERROR(SUMIFS('Conciliação'!$F$6:$F$305,'Conciliação'!$B$6:$B$305,$A148,'Conciliação'!$S$6:$S$305,"OK"),0))</f>
        <v/>
      </c>
      <c r="K148" s="24">
        <f>IF(OR($I148="",$J148=""),"",MAX(0,$J148-$I148))</f>
        <v/>
      </c>
      <c r="L148" s="25">
        <f>IF($A148="","",IF($C148="Inativo",IF($J148&gt;0,"INATIVO COM PUBLICAÇÃO","INATIVO"),IF($I148="","REVISAR DADOS",IF($K148&gt;0,"EXPOSIÇÃO ACIMA DO DISPONÍVEL",IF($I148=0,"SEM SALDO DISPONÍVEL",IF($G148="","SEM DATA",IF('Configurações'!$B$5-$G148&gt;'Configurações'!$B$4,"ATUALIZAÇÃO VENCIDA","OK")))))))</f>
        <v/>
      </c>
      <c r="M148" s="25">
        <f>IF(COUNTA($A148:$G148)=0,"",IF($A148="","SKU AUSENTE",IF(COUNTIF($A$6:$A$205,$A148)&gt;1,"SKU DUPLICADO",IF($B148="","PRODUTO AUSENTE",IF(AND($C148&lt;&gt;"Ativo",$C148&lt;&gt;"Inativo"),"STATUS INVÁLIDO",IF(IFERROR(OR(NOT(ISNUMBER($D148)),$D148&lt;0,MOD($D148,1)&lt;&gt;0),TRUE),"SALDO FÍSICO INVÁLIDO",IF(IFERROR(OR(NOT(ISNUMBER($E148)),$E148&lt;0,MOD($E148,1)&lt;&gt;0),TRUE),"RESERVAS INVÁLIDAS",IF(AND($F148&lt;&gt;"",IFERROR(OR(NOT(ISNUMBER($F148)),$F148&lt;0,MOD($F148,1)&lt;&gt;0),TRUE)),"ESTOQUE DE SEGURANÇA INVÁLIDO",IF(IFERROR(OR(NOT(ISNUMBER($G148)),$G148&gt;'Configurações'!$B$5),TRUE),"DATA INVÁLIDA",IF($E148&gt;$D148,"RESERVAS MAIORES QUE O SALDO","OK"))))))))))</f>
        <v/>
      </c>
    </row>
    <row r="149">
      <c r="A149" s="21" t="n"/>
      <c r="B149" s="21" t="n"/>
      <c r="C149" s="21" t="n"/>
      <c r="D149" s="22" t="n"/>
      <c r="E149" s="22" t="n"/>
      <c r="F149" s="22" t="n"/>
      <c r="G149" s="23" t="n"/>
      <c r="H149" s="24">
        <f>IF($A149="","",IFERROR(SUMIFS('Conciliação'!$G$6:$G$305,'Conciliação'!$B$6:$B$305,$A149,'Conciliação'!$S$6:$S$305,"OK"),0))</f>
        <v/>
      </c>
      <c r="I149" s="24">
        <f>IF($A149="","",IF(OR(NOT(ISNUMBER($D149)),NOT(ISNUMBER($E149)),AND($F149&lt;&gt;"",NOT(ISNUMBER($F149)))),"",MAX(0,$D149-$E149-$H149-IF($F149="",'Configurações'!$B$2,$F149))))</f>
        <v/>
      </c>
      <c r="J149" s="24">
        <f>IF($A149="","",IFERROR(SUMIFS('Conciliação'!$F$6:$F$305,'Conciliação'!$B$6:$B$305,$A149,'Conciliação'!$S$6:$S$305,"OK"),0))</f>
        <v/>
      </c>
      <c r="K149" s="24">
        <f>IF(OR($I149="",$J149=""),"",MAX(0,$J149-$I149))</f>
        <v/>
      </c>
      <c r="L149" s="25">
        <f>IF($A149="","",IF($C149="Inativo",IF($J149&gt;0,"INATIVO COM PUBLICAÇÃO","INATIVO"),IF($I149="","REVISAR DADOS",IF($K149&gt;0,"EXPOSIÇÃO ACIMA DO DISPONÍVEL",IF($I149=0,"SEM SALDO DISPONÍVEL",IF($G149="","SEM DATA",IF('Configurações'!$B$5-$G149&gt;'Configurações'!$B$4,"ATUALIZAÇÃO VENCIDA","OK")))))))</f>
        <v/>
      </c>
      <c r="M149" s="25">
        <f>IF(COUNTA($A149:$G149)=0,"",IF($A149="","SKU AUSENTE",IF(COUNTIF($A$6:$A$205,$A149)&gt;1,"SKU DUPLICADO",IF($B149="","PRODUTO AUSENTE",IF(AND($C149&lt;&gt;"Ativo",$C149&lt;&gt;"Inativo"),"STATUS INVÁLIDO",IF(IFERROR(OR(NOT(ISNUMBER($D149)),$D149&lt;0,MOD($D149,1)&lt;&gt;0),TRUE),"SALDO FÍSICO INVÁLIDO",IF(IFERROR(OR(NOT(ISNUMBER($E149)),$E149&lt;0,MOD($E149,1)&lt;&gt;0),TRUE),"RESERVAS INVÁLIDAS",IF(AND($F149&lt;&gt;"",IFERROR(OR(NOT(ISNUMBER($F149)),$F149&lt;0,MOD($F149,1)&lt;&gt;0),TRUE)),"ESTOQUE DE SEGURANÇA INVÁLIDO",IF(IFERROR(OR(NOT(ISNUMBER($G149)),$G149&gt;'Configurações'!$B$5),TRUE),"DATA INVÁLIDA",IF($E149&gt;$D149,"RESERVAS MAIORES QUE O SALDO","OK"))))))))))</f>
        <v/>
      </c>
    </row>
    <row r="150">
      <c r="A150" s="21" t="n"/>
      <c r="B150" s="21" t="n"/>
      <c r="C150" s="21" t="n"/>
      <c r="D150" s="22" t="n"/>
      <c r="E150" s="22" t="n"/>
      <c r="F150" s="22" t="n"/>
      <c r="G150" s="23" t="n"/>
      <c r="H150" s="24">
        <f>IF($A150="","",IFERROR(SUMIFS('Conciliação'!$G$6:$G$305,'Conciliação'!$B$6:$B$305,$A150,'Conciliação'!$S$6:$S$305,"OK"),0))</f>
        <v/>
      </c>
      <c r="I150" s="24">
        <f>IF($A150="","",IF(OR(NOT(ISNUMBER($D150)),NOT(ISNUMBER($E150)),AND($F150&lt;&gt;"",NOT(ISNUMBER($F150)))),"",MAX(0,$D150-$E150-$H150-IF($F150="",'Configurações'!$B$2,$F150))))</f>
        <v/>
      </c>
      <c r="J150" s="24">
        <f>IF($A150="","",IFERROR(SUMIFS('Conciliação'!$F$6:$F$305,'Conciliação'!$B$6:$B$305,$A150,'Conciliação'!$S$6:$S$305,"OK"),0))</f>
        <v/>
      </c>
      <c r="K150" s="24">
        <f>IF(OR($I150="",$J150=""),"",MAX(0,$J150-$I150))</f>
        <v/>
      </c>
      <c r="L150" s="25">
        <f>IF($A150="","",IF($C150="Inativo",IF($J150&gt;0,"INATIVO COM PUBLICAÇÃO","INATIVO"),IF($I150="","REVISAR DADOS",IF($K150&gt;0,"EXPOSIÇÃO ACIMA DO DISPONÍVEL",IF($I150=0,"SEM SALDO DISPONÍVEL",IF($G150="","SEM DATA",IF('Configurações'!$B$5-$G150&gt;'Configurações'!$B$4,"ATUALIZAÇÃO VENCIDA","OK")))))))</f>
        <v/>
      </c>
      <c r="M150" s="25">
        <f>IF(COUNTA($A150:$G150)=0,"",IF($A150="","SKU AUSENTE",IF(COUNTIF($A$6:$A$205,$A150)&gt;1,"SKU DUPLICADO",IF($B150="","PRODUTO AUSENTE",IF(AND($C150&lt;&gt;"Ativo",$C150&lt;&gt;"Inativo"),"STATUS INVÁLIDO",IF(IFERROR(OR(NOT(ISNUMBER($D150)),$D150&lt;0,MOD($D150,1)&lt;&gt;0),TRUE),"SALDO FÍSICO INVÁLIDO",IF(IFERROR(OR(NOT(ISNUMBER($E150)),$E150&lt;0,MOD($E150,1)&lt;&gt;0),TRUE),"RESERVAS INVÁLIDAS",IF(AND($F150&lt;&gt;"",IFERROR(OR(NOT(ISNUMBER($F150)),$F150&lt;0,MOD($F150,1)&lt;&gt;0),TRUE)),"ESTOQUE DE SEGURANÇA INVÁLIDO",IF(IFERROR(OR(NOT(ISNUMBER($G150)),$G150&gt;'Configurações'!$B$5),TRUE),"DATA INVÁLIDA",IF($E150&gt;$D150,"RESERVAS MAIORES QUE O SALDO","OK"))))))))))</f>
        <v/>
      </c>
    </row>
    <row r="151">
      <c r="A151" s="21" t="n"/>
      <c r="B151" s="21" t="n"/>
      <c r="C151" s="21" t="n"/>
      <c r="D151" s="22" t="n"/>
      <c r="E151" s="22" t="n"/>
      <c r="F151" s="22" t="n"/>
      <c r="G151" s="23" t="n"/>
      <c r="H151" s="24">
        <f>IF($A151="","",IFERROR(SUMIFS('Conciliação'!$G$6:$G$305,'Conciliação'!$B$6:$B$305,$A151,'Conciliação'!$S$6:$S$305,"OK"),0))</f>
        <v/>
      </c>
      <c r="I151" s="24">
        <f>IF($A151="","",IF(OR(NOT(ISNUMBER($D151)),NOT(ISNUMBER($E151)),AND($F151&lt;&gt;"",NOT(ISNUMBER($F151)))),"",MAX(0,$D151-$E151-$H151-IF($F151="",'Configurações'!$B$2,$F151))))</f>
        <v/>
      </c>
      <c r="J151" s="24">
        <f>IF($A151="","",IFERROR(SUMIFS('Conciliação'!$F$6:$F$305,'Conciliação'!$B$6:$B$305,$A151,'Conciliação'!$S$6:$S$305,"OK"),0))</f>
        <v/>
      </c>
      <c r="K151" s="24">
        <f>IF(OR($I151="",$J151=""),"",MAX(0,$J151-$I151))</f>
        <v/>
      </c>
      <c r="L151" s="25">
        <f>IF($A151="","",IF($C151="Inativo",IF($J151&gt;0,"INATIVO COM PUBLICAÇÃO","INATIVO"),IF($I151="","REVISAR DADOS",IF($K151&gt;0,"EXPOSIÇÃO ACIMA DO DISPONÍVEL",IF($I151=0,"SEM SALDO DISPONÍVEL",IF($G151="","SEM DATA",IF('Configurações'!$B$5-$G151&gt;'Configurações'!$B$4,"ATUALIZAÇÃO VENCIDA","OK")))))))</f>
        <v/>
      </c>
      <c r="M151" s="25">
        <f>IF(COUNTA($A151:$G151)=0,"",IF($A151="","SKU AUSENTE",IF(COUNTIF($A$6:$A$205,$A151)&gt;1,"SKU DUPLICADO",IF($B151="","PRODUTO AUSENTE",IF(AND($C151&lt;&gt;"Ativo",$C151&lt;&gt;"Inativo"),"STATUS INVÁLIDO",IF(IFERROR(OR(NOT(ISNUMBER($D151)),$D151&lt;0,MOD($D151,1)&lt;&gt;0),TRUE),"SALDO FÍSICO INVÁLIDO",IF(IFERROR(OR(NOT(ISNUMBER($E151)),$E151&lt;0,MOD($E151,1)&lt;&gt;0),TRUE),"RESERVAS INVÁLIDAS",IF(AND($F151&lt;&gt;"",IFERROR(OR(NOT(ISNUMBER($F151)),$F151&lt;0,MOD($F151,1)&lt;&gt;0),TRUE)),"ESTOQUE DE SEGURANÇA INVÁLIDO",IF(IFERROR(OR(NOT(ISNUMBER($G151)),$G151&gt;'Configurações'!$B$5),TRUE),"DATA INVÁLIDA",IF($E151&gt;$D151,"RESERVAS MAIORES QUE O SALDO","OK"))))))))))</f>
        <v/>
      </c>
    </row>
    <row r="152">
      <c r="A152" s="21" t="n"/>
      <c r="B152" s="21" t="n"/>
      <c r="C152" s="21" t="n"/>
      <c r="D152" s="22" t="n"/>
      <c r="E152" s="22" t="n"/>
      <c r="F152" s="22" t="n"/>
      <c r="G152" s="23" t="n"/>
      <c r="H152" s="24">
        <f>IF($A152="","",IFERROR(SUMIFS('Conciliação'!$G$6:$G$305,'Conciliação'!$B$6:$B$305,$A152,'Conciliação'!$S$6:$S$305,"OK"),0))</f>
        <v/>
      </c>
      <c r="I152" s="24">
        <f>IF($A152="","",IF(OR(NOT(ISNUMBER($D152)),NOT(ISNUMBER($E152)),AND($F152&lt;&gt;"",NOT(ISNUMBER($F152)))),"",MAX(0,$D152-$E152-$H152-IF($F152="",'Configurações'!$B$2,$F152))))</f>
        <v/>
      </c>
      <c r="J152" s="24">
        <f>IF($A152="","",IFERROR(SUMIFS('Conciliação'!$F$6:$F$305,'Conciliação'!$B$6:$B$305,$A152,'Conciliação'!$S$6:$S$305,"OK"),0))</f>
        <v/>
      </c>
      <c r="K152" s="24">
        <f>IF(OR($I152="",$J152=""),"",MAX(0,$J152-$I152))</f>
        <v/>
      </c>
      <c r="L152" s="25">
        <f>IF($A152="","",IF($C152="Inativo",IF($J152&gt;0,"INATIVO COM PUBLICAÇÃO","INATIVO"),IF($I152="","REVISAR DADOS",IF($K152&gt;0,"EXPOSIÇÃO ACIMA DO DISPONÍVEL",IF($I152=0,"SEM SALDO DISPONÍVEL",IF($G152="","SEM DATA",IF('Configurações'!$B$5-$G152&gt;'Configurações'!$B$4,"ATUALIZAÇÃO VENCIDA","OK")))))))</f>
        <v/>
      </c>
      <c r="M152" s="25">
        <f>IF(COUNTA($A152:$G152)=0,"",IF($A152="","SKU AUSENTE",IF(COUNTIF($A$6:$A$205,$A152)&gt;1,"SKU DUPLICADO",IF($B152="","PRODUTO AUSENTE",IF(AND($C152&lt;&gt;"Ativo",$C152&lt;&gt;"Inativo"),"STATUS INVÁLIDO",IF(IFERROR(OR(NOT(ISNUMBER($D152)),$D152&lt;0,MOD($D152,1)&lt;&gt;0),TRUE),"SALDO FÍSICO INVÁLIDO",IF(IFERROR(OR(NOT(ISNUMBER($E152)),$E152&lt;0,MOD($E152,1)&lt;&gt;0),TRUE),"RESERVAS INVÁLIDAS",IF(AND($F152&lt;&gt;"",IFERROR(OR(NOT(ISNUMBER($F152)),$F152&lt;0,MOD($F152,1)&lt;&gt;0),TRUE)),"ESTOQUE DE SEGURANÇA INVÁLIDO",IF(IFERROR(OR(NOT(ISNUMBER($G152)),$G152&gt;'Configurações'!$B$5),TRUE),"DATA INVÁLIDA",IF($E152&gt;$D152,"RESERVAS MAIORES QUE O SALDO","OK"))))))))))</f>
        <v/>
      </c>
    </row>
    <row r="153">
      <c r="A153" s="21" t="n"/>
      <c r="B153" s="21" t="n"/>
      <c r="C153" s="21" t="n"/>
      <c r="D153" s="22" t="n"/>
      <c r="E153" s="22" t="n"/>
      <c r="F153" s="22" t="n"/>
      <c r="G153" s="23" t="n"/>
      <c r="H153" s="24">
        <f>IF($A153="","",IFERROR(SUMIFS('Conciliação'!$G$6:$G$305,'Conciliação'!$B$6:$B$305,$A153,'Conciliação'!$S$6:$S$305,"OK"),0))</f>
        <v/>
      </c>
      <c r="I153" s="24">
        <f>IF($A153="","",IF(OR(NOT(ISNUMBER($D153)),NOT(ISNUMBER($E153)),AND($F153&lt;&gt;"",NOT(ISNUMBER($F153)))),"",MAX(0,$D153-$E153-$H153-IF($F153="",'Configurações'!$B$2,$F153))))</f>
        <v/>
      </c>
      <c r="J153" s="24">
        <f>IF($A153="","",IFERROR(SUMIFS('Conciliação'!$F$6:$F$305,'Conciliação'!$B$6:$B$305,$A153,'Conciliação'!$S$6:$S$305,"OK"),0))</f>
        <v/>
      </c>
      <c r="K153" s="24">
        <f>IF(OR($I153="",$J153=""),"",MAX(0,$J153-$I153))</f>
        <v/>
      </c>
      <c r="L153" s="25">
        <f>IF($A153="","",IF($C153="Inativo",IF($J153&gt;0,"INATIVO COM PUBLICAÇÃO","INATIVO"),IF($I153="","REVISAR DADOS",IF($K153&gt;0,"EXPOSIÇÃO ACIMA DO DISPONÍVEL",IF($I153=0,"SEM SALDO DISPONÍVEL",IF($G153="","SEM DATA",IF('Configurações'!$B$5-$G153&gt;'Configurações'!$B$4,"ATUALIZAÇÃO VENCIDA","OK")))))))</f>
        <v/>
      </c>
      <c r="M153" s="25">
        <f>IF(COUNTA($A153:$G153)=0,"",IF($A153="","SKU AUSENTE",IF(COUNTIF($A$6:$A$205,$A153)&gt;1,"SKU DUPLICADO",IF($B153="","PRODUTO AUSENTE",IF(AND($C153&lt;&gt;"Ativo",$C153&lt;&gt;"Inativo"),"STATUS INVÁLIDO",IF(IFERROR(OR(NOT(ISNUMBER($D153)),$D153&lt;0,MOD($D153,1)&lt;&gt;0),TRUE),"SALDO FÍSICO INVÁLIDO",IF(IFERROR(OR(NOT(ISNUMBER($E153)),$E153&lt;0,MOD($E153,1)&lt;&gt;0),TRUE),"RESERVAS INVÁLIDAS",IF(AND($F153&lt;&gt;"",IFERROR(OR(NOT(ISNUMBER($F153)),$F153&lt;0,MOD($F153,1)&lt;&gt;0),TRUE)),"ESTOQUE DE SEGURANÇA INVÁLIDO",IF(IFERROR(OR(NOT(ISNUMBER($G153)),$G153&gt;'Configurações'!$B$5),TRUE),"DATA INVÁLIDA",IF($E153&gt;$D153,"RESERVAS MAIORES QUE O SALDO","OK"))))))))))</f>
        <v/>
      </c>
    </row>
    <row r="154">
      <c r="A154" s="21" t="n"/>
      <c r="B154" s="21" t="n"/>
      <c r="C154" s="21" t="n"/>
      <c r="D154" s="22" t="n"/>
      <c r="E154" s="22" t="n"/>
      <c r="F154" s="22" t="n"/>
      <c r="G154" s="23" t="n"/>
      <c r="H154" s="24">
        <f>IF($A154="","",IFERROR(SUMIFS('Conciliação'!$G$6:$G$305,'Conciliação'!$B$6:$B$305,$A154,'Conciliação'!$S$6:$S$305,"OK"),0))</f>
        <v/>
      </c>
      <c r="I154" s="24">
        <f>IF($A154="","",IF(OR(NOT(ISNUMBER($D154)),NOT(ISNUMBER($E154)),AND($F154&lt;&gt;"",NOT(ISNUMBER($F154)))),"",MAX(0,$D154-$E154-$H154-IF($F154="",'Configurações'!$B$2,$F154))))</f>
        <v/>
      </c>
      <c r="J154" s="24">
        <f>IF($A154="","",IFERROR(SUMIFS('Conciliação'!$F$6:$F$305,'Conciliação'!$B$6:$B$305,$A154,'Conciliação'!$S$6:$S$305,"OK"),0))</f>
        <v/>
      </c>
      <c r="K154" s="24">
        <f>IF(OR($I154="",$J154=""),"",MAX(0,$J154-$I154))</f>
        <v/>
      </c>
      <c r="L154" s="25">
        <f>IF($A154="","",IF($C154="Inativo",IF($J154&gt;0,"INATIVO COM PUBLICAÇÃO","INATIVO"),IF($I154="","REVISAR DADOS",IF($K154&gt;0,"EXPOSIÇÃO ACIMA DO DISPONÍVEL",IF($I154=0,"SEM SALDO DISPONÍVEL",IF($G154="","SEM DATA",IF('Configurações'!$B$5-$G154&gt;'Configurações'!$B$4,"ATUALIZAÇÃO VENCIDA","OK")))))))</f>
        <v/>
      </c>
      <c r="M154" s="25">
        <f>IF(COUNTA($A154:$G154)=0,"",IF($A154="","SKU AUSENTE",IF(COUNTIF($A$6:$A$205,$A154)&gt;1,"SKU DUPLICADO",IF($B154="","PRODUTO AUSENTE",IF(AND($C154&lt;&gt;"Ativo",$C154&lt;&gt;"Inativo"),"STATUS INVÁLIDO",IF(IFERROR(OR(NOT(ISNUMBER($D154)),$D154&lt;0,MOD($D154,1)&lt;&gt;0),TRUE),"SALDO FÍSICO INVÁLIDO",IF(IFERROR(OR(NOT(ISNUMBER($E154)),$E154&lt;0,MOD($E154,1)&lt;&gt;0),TRUE),"RESERVAS INVÁLIDAS",IF(AND($F154&lt;&gt;"",IFERROR(OR(NOT(ISNUMBER($F154)),$F154&lt;0,MOD($F154,1)&lt;&gt;0),TRUE)),"ESTOQUE DE SEGURANÇA INVÁLIDO",IF(IFERROR(OR(NOT(ISNUMBER($G154)),$G154&gt;'Configurações'!$B$5),TRUE),"DATA INVÁLIDA",IF($E154&gt;$D154,"RESERVAS MAIORES QUE O SALDO","OK"))))))))))</f>
        <v/>
      </c>
    </row>
    <row r="155">
      <c r="A155" s="21" t="n"/>
      <c r="B155" s="21" t="n"/>
      <c r="C155" s="21" t="n"/>
      <c r="D155" s="22" t="n"/>
      <c r="E155" s="22" t="n"/>
      <c r="F155" s="22" t="n"/>
      <c r="G155" s="23" t="n"/>
      <c r="H155" s="24">
        <f>IF($A155="","",IFERROR(SUMIFS('Conciliação'!$G$6:$G$305,'Conciliação'!$B$6:$B$305,$A155,'Conciliação'!$S$6:$S$305,"OK"),0))</f>
        <v/>
      </c>
      <c r="I155" s="24">
        <f>IF($A155="","",IF(OR(NOT(ISNUMBER($D155)),NOT(ISNUMBER($E155)),AND($F155&lt;&gt;"",NOT(ISNUMBER($F155)))),"",MAX(0,$D155-$E155-$H155-IF($F155="",'Configurações'!$B$2,$F155))))</f>
        <v/>
      </c>
      <c r="J155" s="24">
        <f>IF($A155="","",IFERROR(SUMIFS('Conciliação'!$F$6:$F$305,'Conciliação'!$B$6:$B$305,$A155,'Conciliação'!$S$6:$S$305,"OK"),0))</f>
        <v/>
      </c>
      <c r="K155" s="24">
        <f>IF(OR($I155="",$J155=""),"",MAX(0,$J155-$I155))</f>
        <v/>
      </c>
      <c r="L155" s="25">
        <f>IF($A155="","",IF($C155="Inativo",IF($J155&gt;0,"INATIVO COM PUBLICAÇÃO","INATIVO"),IF($I155="","REVISAR DADOS",IF($K155&gt;0,"EXPOSIÇÃO ACIMA DO DISPONÍVEL",IF($I155=0,"SEM SALDO DISPONÍVEL",IF($G155="","SEM DATA",IF('Configurações'!$B$5-$G155&gt;'Configurações'!$B$4,"ATUALIZAÇÃO VENCIDA","OK")))))))</f>
        <v/>
      </c>
      <c r="M155" s="25">
        <f>IF(COUNTA($A155:$G155)=0,"",IF($A155="","SKU AUSENTE",IF(COUNTIF($A$6:$A$205,$A155)&gt;1,"SKU DUPLICADO",IF($B155="","PRODUTO AUSENTE",IF(AND($C155&lt;&gt;"Ativo",$C155&lt;&gt;"Inativo"),"STATUS INVÁLIDO",IF(IFERROR(OR(NOT(ISNUMBER($D155)),$D155&lt;0,MOD($D155,1)&lt;&gt;0),TRUE),"SALDO FÍSICO INVÁLIDO",IF(IFERROR(OR(NOT(ISNUMBER($E155)),$E155&lt;0,MOD($E155,1)&lt;&gt;0),TRUE),"RESERVAS INVÁLIDAS",IF(AND($F155&lt;&gt;"",IFERROR(OR(NOT(ISNUMBER($F155)),$F155&lt;0,MOD($F155,1)&lt;&gt;0),TRUE)),"ESTOQUE DE SEGURANÇA INVÁLIDO",IF(IFERROR(OR(NOT(ISNUMBER($G155)),$G155&gt;'Configurações'!$B$5),TRUE),"DATA INVÁLIDA",IF($E155&gt;$D155,"RESERVAS MAIORES QUE O SALDO","OK"))))))))))</f>
        <v/>
      </c>
    </row>
    <row r="156">
      <c r="A156" s="21" t="n"/>
      <c r="B156" s="21" t="n"/>
      <c r="C156" s="21" t="n"/>
      <c r="D156" s="22" t="n"/>
      <c r="E156" s="22" t="n"/>
      <c r="F156" s="22" t="n"/>
      <c r="G156" s="23" t="n"/>
      <c r="H156" s="24">
        <f>IF($A156="","",IFERROR(SUMIFS('Conciliação'!$G$6:$G$305,'Conciliação'!$B$6:$B$305,$A156,'Conciliação'!$S$6:$S$305,"OK"),0))</f>
        <v/>
      </c>
      <c r="I156" s="24">
        <f>IF($A156="","",IF(OR(NOT(ISNUMBER($D156)),NOT(ISNUMBER($E156)),AND($F156&lt;&gt;"",NOT(ISNUMBER($F156)))),"",MAX(0,$D156-$E156-$H156-IF($F156="",'Configurações'!$B$2,$F156))))</f>
        <v/>
      </c>
      <c r="J156" s="24">
        <f>IF($A156="","",IFERROR(SUMIFS('Conciliação'!$F$6:$F$305,'Conciliação'!$B$6:$B$305,$A156,'Conciliação'!$S$6:$S$305,"OK"),0))</f>
        <v/>
      </c>
      <c r="K156" s="24">
        <f>IF(OR($I156="",$J156=""),"",MAX(0,$J156-$I156))</f>
        <v/>
      </c>
      <c r="L156" s="25">
        <f>IF($A156="","",IF($C156="Inativo",IF($J156&gt;0,"INATIVO COM PUBLICAÇÃO","INATIVO"),IF($I156="","REVISAR DADOS",IF($K156&gt;0,"EXPOSIÇÃO ACIMA DO DISPONÍVEL",IF($I156=0,"SEM SALDO DISPONÍVEL",IF($G156="","SEM DATA",IF('Configurações'!$B$5-$G156&gt;'Configurações'!$B$4,"ATUALIZAÇÃO VENCIDA","OK")))))))</f>
        <v/>
      </c>
      <c r="M156" s="25">
        <f>IF(COUNTA($A156:$G156)=0,"",IF($A156="","SKU AUSENTE",IF(COUNTIF($A$6:$A$205,$A156)&gt;1,"SKU DUPLICADO",IF($B156="","PRODUTO AUSENTE",IF(AND($C156&lt;&gt;"Ativo",$C156&lt;&gt;"Inativo"),"STATUS INVÁLIDO",IF(IFERROR(OR(NOT(ISNUMBER($D156)),$D156&lt;0,MOD($D156,1)&lt;&gt;0),TRUE),"SALDO FÍSICO INVÁLIDO",IF(IFERROR(OR(NOT(ISNUMBER($E156)),$E156&lt;0,MOD($E156,1)&lt;&gt;0),TRUE),"RESERVAS INVÁLIDAS",IF(AND($F156&lt;&gt;"",IFERROR(OR(NOT(ISNUMBER($F156)),$F156&lt;0,MOD($F156,1)&lt;&gt;0),TRUE)),"ESTOQUE DE SEGURANÇA INVÁLIDO",IF(IFERROR(OR(NOT(ISNUMBER($G156)),$G156&gt;'Configurações'!$B$5),TRUE),"DATA INVÁLIDA",IF($E156&gt;$D156,"RESERVAS MAIORES QUE O SALDO","OK"))))))))))</f>
        <v/>
      </c>
    </row>
    <row r="157">
      <c r="A157" s="21" t="n"/>
      <c r="B157" s="21" t="n"/>
      <c r="C157" s="21" t="n"/>
      <c r="D157" s="22" t="n"/>
      <c r="E157" s="22" t="n"/>
      <c r="F157" s="22" t="n"/>
      <c r="G157" s="23" t="n"/>
      <c r="H157" s="24">
        <f>IF($A157="","",IFERROR(SUMIFS('Conciliação'!$G$6:$G$305,'Conciliação'!$B$6:$B$305,$A157,'Conciliação'!$S$6:$S$305,"OK"),0))</f>
        <v/>
      </c>
      <c r="I157" s="24">
        <f>IF($A157="","",IF(OR(NOT(ISNUMBER($D157)),NOT(ISNUMBER($E157)),AND($F157&lt;&gt;"",NOT(ISNUMBER($F157)))),"",MAX(0,$D157-$E157-$H157-IF($F157="",'Configurações'!$B$2,$F157))))</f>
        <v/>
      </c>
      <c r="J157" s="24">
        <f>IF($A157="","",IFERROR(SUMIFS('Conciliação'!$F$6:$F$305,'Conciliação'!$B$6:$B$305,$A157,'Conciliação'!$S$6:$S$305,"OK"),0))</f>
        <v/>
      </c>
      <c r="K157" s="24">
        <f>IF(OR($I157="",$J157=""),"",MAX(0,$J157-$I157))</f>
        <v/>
      </c>
      <c r="L157" s="25">
        <f>IF($A157="","",IF($C157="Inativo",IF($J157&gt;0,"INATIVO COM PUBLICAÇÃO","INATIVO"),IF($I157="","REVISAR DADOS",IF($K157&gt;0,"EXPOSIÇÃO ACIMA DO DISPONÍVEL",IF($I157=0,"SEM SALDO DISPONÍVEL",IF($G157="","SEM DATA",IF('Configurações'!$B$5-$G157&gt;'Configurações'!$B$4,"ATUALIZAÇÃO VENCIDA","OK")))))))</f>
        <v/>
      </c>
      <c r="M157" s="25">
        <f>IF(COUNTA($A157:$G157)=0,"",IF($A157="","SKU AUSENTE",IF(COUNTIF($A$6:$A$205,$A157)&gt;1,"SKU DUPLICADO",IF($B157="","PRODUTO AUSENTE",IF(AND($C157&lt;&gt;"Ativo",$C157&lt;&gt;"Inativo"),"STATUS INVÁLIDO",IF(IFERROR(OR(NOT(ISNUMBER($D157)),$D157&lt;0,MOD($D157,1)&lt;&gt;0),TRUE),"SALDO FÍSICO INVÁLIDO",IF(IFERROR(OR(NOT(ISNUMBER($E157)),$E157&lt;0,MOD($E157,1)&lt;&gt;0),TRUE),"RESERVAS INVÁLIDAS",IF(AND($F157&lt;&gt;"",IFERROR(OR(NOT(ISNUMBER($F157)),$F157&lt;0,MOD($F157,1)&lt;&gt;0),TRUE)),"ESTOQUE DE SEGURANÇA INVÁLIDO",IF(IFERROR(OR(NOT(ISNUMBER($G157)),$G157&gt;'Configurações'!$B$5),TRUE),"DATA INVÁLIDA",IF($E157&gt;$D157,"RESERVAS MAIORES QUE O SALDO","OK"))))))))))</f>
        <v/>
      </c>
    </row>
    <row r="158">
      <c r="A158" s="21" t="n"/>
      <c r="B158" s="21" t="n"/>
      <c r="C158" s="21" t="n"/>
      <c r="D158" s="22" t="n"/>
      <c r="E158" s="22" t="n"/>
      <c r="F158" s="22" t="n"/>
      <c r="G158" s="23" t="n"/>
      <c r="H158" s="24">
        <f>IF($A158="","",IFERROR(SUMIFS('Conciliação'!$G$6:$G$305,'Conciliação'!$B$6:$B$305,$A158,'Conciliação'!$S$6:$S$305,"OK"),0))</f>
        <v/>
      </c>
      <c r="I158" s="24">
        <f>IF($A158="","",IF(OR(NOT(ISNUMBER($D158)),NOT(ISNUMBER($E158)),AND($F158&lt;&gt;"",NOT(ISNUMBER($F158)))),"",MAX(0,$D158-$E158-$H158-IF($F158="",'Configurações'!$B$2,$F158))))</f>
        <v/>
      </c>
      <c r="J158" s="24">
        <f>IF($A158="","",IFERROR(SUMIFS('Conciliação'!$F$6:$F$305,'Conciliação'!$B$6:$B$305,$A158,'Conciliação'!$S$6:$S$305,"OK"),0))</f>
        <v/>
      </c>
      <c r="K158" s="24">
        <f>IF(OR($I158="",$J158=""),"",MAX(0,$J158-$I158))</f>
        <v/>
      </c>
      <c r="L158" s="25">
        <f>IF($A158="","",IF($C158="Inativo",IF($J158&gt;0,"INATIVO COM PUBLICAÇÃO","INATIVO"),IF($I158="","REVISAR DADOS",IF($K158&gt;0,"EXPOSIÇÃO ACIMA DO DISPONÍVEL",IF($I158=0,"SEM SALDO DISPONÍVEL",IF($G158="","SEM DATA",IF('Configurações'!$B$5-$G158&gt;'Configurações'!$B$4,"ATUALIZAÇÃO VENCIDA","OK")))))))</f>
        <v/>
      </c>
      <c r="M158" s="25">
        <f>IF(COUNTA($A158:$G158)=0,"",IF($A158="","SKU AUSENTE",IF(COUNTIF($A$6:$A$205,$A158)&gt;1,"SKU DUPLICADO",IF($B158="","PRODUTO AUSENTE",IF(AND($C158&lt;&gt;"Ativo",$C158&lt;&gt;"Inativo"),"STATUS INVÁLIDO",IF(IFERROR(OR(NOT(ISNUMBER($D158)),$D158&lt;0,MOD($D158,1)&lt;&gt;0),TRUE),"SALDO FÍSICO INVÁLIDO",IF(IFERROR(OR(NOT(ISNUMBER($E158)),$E158&lt;0,MOD($E158,1)&lt;&gt;0),TRUE),"RESERVAS INVÁLIDAS",IF(AND($F158&lt;&gt;"",IFERROR(OR(NOT(ISNUMBER($F158)),$F158&lt;0,MOD($F158,1)&lt;&gt;0),TRUE)),"ESTOQUE DE SEGURANÇA INVÁLIDO",IF(IFERROR(OR(NOT(ISNUMBER($G158)),$G158&gt;'Configurações'!$B$5),TRUE),"DATA INVÁLIDA",IF($E158&gt;$D158,"RESERVAS MAIORES QUE O SALDO","OK"))))))))))</f>
        <v/>
      </c>
    </row>
    <row r="159">
      <c r="A159" s="21" t="n"/>
      <c r="B159" s="21" t="n"/>
      <c r="C159" s="21" t="n"/>
      <c r="D159" s="22" t="n"/>
      <c r="E159" s="22" t="n"/>
      <c r="F159" s="22" t="n"/>
      <c r="G159" s="23" t="n"/>
      <c r="H159" s="24">
        <f>IF($A159="","",IFERROR(SUMIFS('Conciliação'!$G$6:$G$305,'Conciliação'!$B$6:$B$305,$A159,'Conciliação'!$S$6:$S$305,"OK"),0))</f>
        <v/>
      </c>
      <c r="I159" s="24">
        <f>IF($A159="","",IF(OR(NOT(ISNUMBER($D159)),NOT(ISNUMBER($E159)),AND($F159&lt;&gt;"",NOT(ISNUMBER($F159)))),"",MAX(0,$D159-$E159-$H159-IF($F159="",'Configurações'!$B$2,$F159))))</f>
        <v/>
      </c>
      <c r="J159" s="24">
        <f>IF($A159="","",IFERROR(SUMIFS('Conciliação'!$F$6:$F$305,'Conciliação'!$B$6:$B$305,$A159,'Conciliação'!$S$6:$S$305,"OK"),0))</f>
        <v/>
      </c>
      <c r="K159" s="24">
        <f>IF(OR($I159="",$J159=""),"",MAX(0,$J159-$I159))</f>
        <v/>
      </c>
      <c r="L159" s="25">
        <f>IF($A159="","",IF($C159="Inativo",IF($J159&gt;0,"INATIVO COM PUBLICAÇÃO","INATIVO"),IF($I159="","REVISAR DADOS",IF($K159&gt;0,"EXPOSIÇÃO ACIMA DO DISPONÍVEL",IF($I159=0,"SEM SALDO DISPONÍVEL",IF($G159="","SEM DATA",IF('Configurações'!$B$5-$G159&gt;'Configurações'!$B$4,"ATUALIZAÇÃO VENCIDA","OK")))))))</f>
        <v/>
      </c>
      <c r="M159" s="25">
        <f>IF(COUNTA($A159:$G159)=0,"",IF($A159="","SKU AUSENTE",IF(COUNTIF($A$6:$A$205,$A159)&gt;1,"SKU DUPLICADO",IF($B159="","PRODUTO AUSENTE",IF(AND($C159&lt;&gt;"Ativo",$C159&lt;&gt;"Inativo"),"STATUS INVÁLIDO",IF(IFERROR(OR(NOT(ISNUMBER($D159)),$D159&lt;0,MOD($D159,1)&lt;&gt;0),TRUE),"SALDO FÍSICO INVÁLIDO",IF(IFERROR(OR(NOT(ISNUMBER($E159)),$E159&lt;0,MOD($E159,1)&lt;&gt;0),TRUE),"RESERVAS INVÁLIDAS",IF(AND($F159&lt;&gt;"",IFERROR(OR(NOT(ISNUMBER($F159)),$F159&lt;0,MOD($F159,1)&lt;&gt;0),TRUE)),"ESTOQUE DE SEGURANÇA INVÁLIDO",IF(IFERROR(OR(NOT(ISNUMBER($G159)),$G159&gt;'Configurações'!$B$5),TRUE),"DATA INVÁLIDA",IF($E159&gt;$D159,"RESERVAS MAIORES QUE O SALDO","OK"))))))))))</f>
        <v/>
      </c>
    </row>
    <row r="160">
      <c r="A160" s="21" t="n"/>
      <c r="B160" s="21" t="n"/>
      <c r="C160" s="21" t="n"/>
      <c r="D160" s="22" t="n"/>
      <c r="E160" s="22" t="n"/>
      <c r="F160" s="22" t="n"/>
      <c r="G160" s="23" t="n"/>
      <c r="H160" s="24">
        <f>IF($A160="","",IFERROR(SUMIFS('Conciliação'!$G$6:$G$305,'Conciliação'!$B$6:$B$305,$A160,'Conciliação'!$S$6:$S$305,"OK"),0))</f>
        <v/>
      </c>
      <c r="I160" s="24">
        <f>IF($A160="","",IF(OR(NOT(ISNUMBER($D160)),NOT(ISNUMBER($E160)),AND($F160&lt;&gt;"",NOT(ISNUMBER($F160)))),"",MAX(0,$D160-$E160-$H160-IF($F160="",'Configurações'!$B$2,$F160))))</f>
        <v/>
      </c>
      <c r="J160" s="24">
        <f>IF($A160="","",IFERROR(SUMIFS('Conciliação'!$F$6:$F$305,'Conciliação'!$B$6:$B$305,$A160,'Conciliação'!$S$6:$S$305,"OK"),0))</f>
        <v/>
      </c>
      <c r="K160" s="24">
        <f>IF(OR($I160="",$J160=""),"",MAX(0,$J160-$I160))</f>
        <v/>
      </c>
      <c r="L160" s="25">
        <f>IF($A160="","",IF($C160="Inativo",IF($J160&gt;0,"INATIVO COM PUBLICAÇÃO","INATIVO"),IF($I160="","REVISAR DADOS",IF($K160&gt;0,"EXPOSIÇÃO ACIMA DO DISPONÍVEL",IF($I160=0,"SEM SALDO DISPONÍVEL",IF($G160="","SEM DATA",IF('Configurações'!$B$5-$G160&gt;'Configurações'!$B$4,"ATUALIZAÇÃO VENCIDA","OK")))))))</f>
        <v/>
      </c>
      <c r="M160" s="25">
        <f>IF(COUNTA($A160:$G160)=0,"",IF($A160="","SKU AUSENTE",IF(COUNTIF($A$6:$A$205,$A160)&gt;1,"SKU DUPLICADO",IF($B160="","PRODUTO AUSENTE",IF(AND($C160&lt;&gt;"Ativo",$C160&lt;&gt;"Inativo"),"STATUS INVÁLIDO",IF(IFERROR(OR(NOT(ISNUMBER($D160)),$D160&lt;0,MOD($D160,1)&lt;&gt;0),TRUE),"SALDO FÍSICO INVÁLIDO",IF(IFERROR(OR(NOT(ISNUMBER($E160)),$E160&lt;0,MOD($E160,1)&lt;&gt;0),TRUE),"RESERVAS INVÁLIDAS",IF(AND($F160&lt;&gt;"",IFERROR(OR(NOT(ISNUMBER($F160)),$F160&lt;0,MOD($F160,1)&lt;&gt;0),TRUE)),"ESTOQUE DE SEGURANÇA INVÁLIDO",IF(IFERROR(OR(NOT(ISNUMBER($G160)),$G160&gt;'Configurações'!$B$5),TRUE),"DATA INVÁLIDA",IF($E160&gt;$D160,"RESERVAS MAIORES QUE O SALDO","OK"))))))))))</f>
        <v/>
      </c>
    </row>
    <row r="161">
      <c r="A161" s="21" t="n"/>
      <c r="B161" s="21" t="n"/>
      <c r="C161" s="21" t="n"/>
      <c r="D161" s="22" t="n"/>
      <c r="E161" s="22" t="n"/>
      <c r="F161" s="22" t="n"/>
      <c r="G161" s="23" t="n"/>
      <c r="H161" s="24">
        <f>IF($A161="","",IFERROR(SUMIFS('Conciliação'!$G$6:$G$305,'Conciliação'!$B$6:$B$305,$A161,'Conciliação'!$S$6:$S$305,"OK"),0))</f>
        <v/>
      </c>
      <c r="I161" s="24">
        <f>IF($A161="","",IF(OR(NOT(ISNUMBER($D161)),NOT(ISNUMBER($E161)),AND($F161&lt;&gt;"",NOT(ISNUMBER($F161)))),"",MAX(0,$D161-$E161-$H161-IF($F161="",'Configurações'!$B$2,$F161))))</f>
        <v/>
      </c>
      <c r="J161" s="24">
        <f>IF($A161="","",IFERROR(SUMIFS('Conciliação'!$F$6:$F$305,'Conciliação'!$B$6:$B$305,$A161,'Conciliação'!$S$6:$S$305,"OK"),0))</f>
        <v/>
      </c>
      <c r="K161" s="24">
        <f>IF(OR($I161="",$J161=""),"",MAX(0,$J161-$I161))</f>
        <v/>
      </c>
      <c r="L161" s="25">
        <f>IF($A161="","",IF($C161="Inativo",IF($J161&gt;0,"INATIVO COM PUBLICAÇÃO","INATIVO"),IF($I161="","REVISAR DADOS",IF($K161&gt;0,"EXPOSIÇÃO ACIMA DO DISPONÍVEL",IF($I161=0,"SEM SALDO DISPONÍVEL",IF($G161="","SEM DATA",IF('Configurações'!$B$5-$G161&gt;'Configurações'!$B$4,"ATUALIZAÇÃO VENCIDA","OK")))))))</f>
        <v/>
      </c>
      <c r="M161" s="25">
        <f>IF(COUNTA($A161:$G161)=0,"",IF($A161="","SKU AUSENTE",IF(COUNTIF($A$6:$A$205,$A161)&gt;1,"SKU DUPLICADO",IF($B161="","PRODUTO AUSENTE",IF(AND($C161&lt;&gt;"Ativo",$C161&lt;&gt;"Inativo"),"STATUS INVÁLIDO",IF(IFERROR(OR(NOT(ISNUMBER($D161)),$D161&lt;0,MOD($D161,1)&lt;&gt;0),TRUE),"SALDO FÍSICO INVÁLIDO",IF(IFERROR(OR(NOT(ISNUMBER($E161)),$E161&lt;0,MOD($E161,1)&lt;&gt;0),TRUE),"RESERVAS INVÁLIDAS",IF(AND($F161&lt;&gt;"",IFERROR(OR(NOT(ISNUMBER($F161)),$F161&lt;0,MOD($F161,1)&lt;&gt;0),TRUE)),"ESTOQUE DE SEGURANÇA INVÁLIDO",IF(IFERROR(OR(NOT(ISNUMBER($G161)),$G161&gt;'Configurações'!$B$5),TRUE),"DATA INVÁLIDA",IF($E161&gt;$D161,"RESERVAS MAIORES QUE O SALDO","OK"))))))))))</f>
        <v/>
      </c>
    </row>
    <row r="162">
      <c r="A162" s="21" t="n"/>
      <c r="B162" s="21" t="n"/>
      <c r="C162" s="21" t="n"/>
      <c r="D162" s="22" t="n"/>
      <c r="E162" s="22" t="n"/>
      <c r="F162" s="22" t="n"/>
      <c r="G162" s="23" t="n"/>
      <c r="H162" s="24">
        <f>IF($A162="","",IFERROR(SUMIFS('Conciliação'!$G$6:$G$305,'Conciliação'!$B$6:$B$305,$A162,'Conciliação'!$S$6:$S$305,"OK"),0))</f>
        <v/>
      </c>
      <c r="I162" s="24">
        <f>IF($A162="","",IF(OR(NOT(ISNUMBER($D162)),NOT(ISNUMBER($E162)),AND($F162&lt;&gt;"",NOT(ISNUMBER($F162)))),"",MAX(0,$D162-$E162-$H162-IF($F162="",'Configurações'!$B$2,$F162))))</f>
        <v/>
      </c>
      <c r="J162" s="24">
        <f>IF($A162="","",IFERROR(SUMIFS('Conciliação'!$F$6:$F$305,'Conciliação'!$B$6:$B$305,$A162,'Conciliação'!$S$6:$S$305,"OK"),0))</f>
        <v/>
      </c>
      <c r="K162" s="24">
        <f>IF(OR($I162="",$J162=""),"",MAX(0,$J162-$I162))</f>
        <v/>
      </c>
      <c r="L162" s="25">
        <f>IF($A162="","",IF($C162="Inativo",IF($J162&gt;0,"INATIVO COM PUBLICAÇÃO","INATIVO"),IF($I162="","REVISAR DADOS",IF($K162&gt;0,"EXPOSIÇÃO ACIMA DO DISPONÍVEL",IF($I162=0,"SEM SALDO DISPONÍVEL",IF($G162="","SEM DATA",IF('Configurações'!$B$5-$G162&gt;'Configurações'!$B$4,"ATUALIZAÇÃO VENCIDA","OK")))))))</f>
        <v/>
      </c>
      <c r="M162" s="25">
        <f>IF(COUNTA($A162:$G162)=0,"",IF($A162="","SKU AUSENTE",IF(COUNTIF($A$6:$A$205,$A162)&gt;1,"SKU DUPLICADO",IF($B162="","PRODUTO AUSENTE",IF(AND($C162&lt;&gt;"Ativo",$C162&lt;&gt;"Inativo"),"STATUS INVÁLIDO",IF(IFERROR(OR(NOT(ISNUMBER($D162)),$D162&lt;0,MOD($D162,1)&lt;&gt;0),TRUE),"SALDO FÍSICO INVÁLIDO",IF(IFERROR(OR(NOT(ISNUMBER($E162)),$E162&lt;0,MOD($E162,1)&lt;&gt;0),TRUE),"RESERVAS INVÁLIDAS",IF(AND($F162&lt;&gt;"",IFERROR(OR(NOT(ISNUMBER($F162)),$F162&lt;0,MOD($F162,1)&lt;&gt;0),TRUE)),"ESTOQUE DE SEGURANÇA INVÁLIDO",IF(IFERROR(OR(NOT(ISNUMBER($G162)),$G162&gt;'Configurações'!$B$5),TRUE),"DATA INVÁLIDA",IF($E162&gt;$D162,"RESERVAS MAIORES QUE O SALDO","OK"))))))))))</f>
        <v/>
      </c>
    </row>
    <row r="163">
      <c r="A163" s="21" t="n"/>
      <c r="B163" s="21" t="n"/>
      <c r="C163" s="21" t="n"/>
      <c r="D163" s="22" t="n"/>
      <c r="E163" s="22" t="n"/>
      <c r="F163" s="22" t="n"/>
      <c r="G163" s="23" t="n"/>
      <c r="H163" s="24">
        <f>IF($A163="","",IFERROR(SUMIFS('Conciliação'!$G$6:$G$305,'Conciliação'!$B$6:$B$305,$A163,'Conciliação'!$S$6:$S$305,"OK"),0))</f>
        <v/>
      </c>
      <c r="I163" s="24">
        <f>IF($A163="","",IF(OR(NOT(ISNUMBER($D163)),NOT(ISNUMBER($E163)),AND($F163&lt;&gt;"",NOT(ISNUMBER($F163)))),"",MAX(0,$D163-$E163-$H163-IF($F163="",'Configurações'!$B$2,$F163))))</f>
        <v/>
      </c>
      <c r="J163" s="24">
        <f>IF($A163="","",IFERROR(SUMIFS('Conciliação'!$F$6:$F$305,'Conciliação'!$B$6:$B$305,$A163,'Conciliação'!$S$6:$S$305,"OK"),0))</f>
        <v/>
      </c>
      <c r="K163" s="24">
        <f>IF(OR($I163="",$J163=""),"",MAX(0,$J163-$I163))</f>
        <v/>
      </c>
      <c r="L163" s="25">
        <f>IF($A163="","",IF($C163="Inativo",IF($J163&gt;0,"INATIVO COM PUBLICAÇÃO","INATIVO"),IF($I163="","REVISAR DADOS",IF($K163&gt;0,"EXPOSIÇÃO ACIMA DO DISPONÍVEL",IF($I163=0,"SEM SALDO DISPONÍVEL",IF($G163="","SEM DATA",IF('Configurações'!$B$5-$G163&gt;'Configurações'!$B$4,"ATUALIZAÇÃO VENCIDA","OK")))))))</f>
        <v/>
      </c>
      <c r="M163" s="25">
        <f>IF(COUNTA($A163:$G163)=0,"",IF($A163="","SKU AUSENTE",IF(COUNTIF($A$6:$A$205,$A163)&gt;1,"SKU DUPLICADO",IF($B163="","PRODUTO AUSENTE",IF(AND($C163&lt;&gt;"Ativo",$C163&lt;&gt;"Inativo"),"STATUS INVÁLIDO",IF(IFERROR(OR(NOT(ISNUMBER($D163)),$D163&lt;0,MOD($D163,1)&lt;&gt;0),TRUE),"SALDO FÍSICO INVÁLIDO",IF(IFERROR(OR(NOT(ISNUMBER($E163)),$E163&lt;0,MOD($E163,1)&lt;&gt;0),TRUE),"RESERVAS INVÁLIDAS",IF(AND($F163&lt;&gt;"",IFERROR(OR(NOT(ISNUMBER($F163)),$F163&lt;0,MOD($F163,1)&lt;&gt;0),TRUE)),"ESTOQUE DE SEGURANÇA INVÁLIDO",IF(IFERROR(OR(NOT(ISNUMBER($G163)),$G163&gt;'Configurações'!$B$5),TRUE),"DATA INVÁLIDA",IF($E163&gt;$D163,"RESERVAS MAIORES QUE O SALDO","OK"))))))))))</f>
        <v/>
      </c>
    </row>
    <row r="164">
      <c r="A164" s="21" t="n"/>
      <c r="B164" s="21" t="n"/>
      <c r="C164" s="21" t="n"/>
      <c r="D164" s="22" t="n"/>
      <c r="E164" s="22" t="n"/>
      <c r="F164" s="22" t="n"/>
      <c r="G164" s="23" t="n"/>
      <c r="H164" s="24">
        <f>IF($A164="","",IFERROR(SUMIFS('Conciliação'!$G$6:$G$305,'Conciliação'!$B$6:$B$305,$A164,'Conciliação'!$S$6:$S$305,"OK"),0))</f>
        <v/>
      </c>
      <c r="I164" s="24">
        <f>IF($A164="","",IF(OR(NOT(ISNUMBER($D164)),NOT(ISNUMBER($E164)),AND($F164&lt;&gt;"",NOT(ISNUMBER($F164)))),"",MAX(0,$D164-$E164-$H164-IF($F164="",'Configurações'!$B$2,$F164))))</f>
        <v/>
      </c>
      <c r="J164" s="24">
        <f>IF($A164="","",IFERROR(SUMIFS('Conciliação'!$F$6:$F$305,'Conciliação'!$B$6:$B$305,$A164,'Conciliação'!$S$6:$S$305,"OK"),0))</f>
        <v/>
      </c>
      <c r="K164" s="24">
        <f>IF(OR($I164="",$J164=""),"",MAX(0,$J164-$I164))</f>
        <v/>
      </c>
      <c r="L164" s="25">
        <f>IF($A164="","",IF($C164="Inativo",IF($J164&gt;0,"INATIVO COM PUBLICAÇÃO","INATIVO"),IF($I164="","REVISAR DADOS",IF($K164&gt;0,"EXPOSIÇÃO ACIMA DO DISPONÍVEL",IF($I164=0,"SEM SALDO DISPONÍVEL",IF($G164="","SEM DATA",IF('Configurações'!$B$5-$G164&gt;'Configurações'!$B$4,"ATUALIZAÇÃO VENCIDA","OK")))))))</f>
        <v/>
      </c>
      <c r="M164" s="25">
        <f>IF(COUNTA($A164:$G164)=0,"",IF($A164="","SKU AUSENTE",IF(COUNTIF($A$6:$A$205,$A164)&gt;1,"SKU DUPLICADO",IF($B164="","PRODUTO AUSENTE",IF(AND($C164&lt;&gt;"Ativo",$C164&lt;&gt;"Inativo"),"STATUS INVÁLIDO",IF(IFERROR(OR(NOT(ISNUMBER($D164)),$D164&lt;0,MOD($D164,1)&lt;&gt;0),TRUE),"SALDO FÍSICO INVÁLIDO",IF(IFERROR(OR(NOT(ISNUMBER($E164)),$E164&lt;0,MOD($E164,1)&lt;&gt;0),TRUE),"RESERVAS INVÁLIDAS",IF(AND($F164&lt;&gt;"",IFERROR(OR(NOT(ISNUMBER($F164)),$F164&lt;0,MOD($F164,1)&lt;&gt;0),TRUE)),"ESTOQUE DE SEGURANÇA INVÁLIDO",IF(IFERROR(OR(NOT(ISNUMBER($G164)),$G164&gt;'Configurações'!$B$5),TRUE),"DATA INVÁLIDA",IF($E164&gt;$D164,"RESERVAS MAIORES QUE O SALDO","OK"))))))))))</f>
        <v/>
      </c>
    </row>
    <row r="165">
      <c r="A165" s="21" t="n"/>
      <c r="B165" s="21" t="n"/>
      <c r="C165" s="21" t="n"/>
      <c r="D165" s="22" t="n"/>
      <c r="E165" s="22" t="n"/>
      <c r="F165" s="22" t="n"/>
      <c r="G165" s="23" t="n"/>
      <c r="H165" s="24">
        <f>IF($A165="","",IFERROR(SUMIFS('Conciliação'!$G$6:$G$305,'Conciliação'!$B$6:$B$305,$A165,'Conciliação'!$S$6:$S$305,"OK"),0))</f>
        <v/>
      </c>
      <c r="I165" s="24">
        <f>IF($A165="","",IF(OR(NOT(ISNUMBER($D165)),NOT(ISNUMBER($E165)),AND($F165&lt;&gt;"",NOT(ISNUMBER($F165)))),"",MAX(0,$D165-$E165-$H165-IF($F165="",'Configurações'!$B$2,$F165))))</f>
        <v/>
      </c>
      <c r="J165" s="24">
        <f>IF($A165="","",IFERROR(SUMIFS('Conciliação'!$F$6:$F$305,'Conciliação'!$B$6:$B$305,$A165,'Conciliação'!$S$6:$S$305,"OK"),0))</f>
        <v/>
      </c>
      <c r="K165" s="24">
        <f>IF(OR($I165="",$J165=""),"",MAX(0,$J165-$I165))</f>
        <v/>
      </c>
      <c r="L165" s="25">
        <f>IF($A165="","",IF($C165="Inativo",IF($J165&gt;0,"INATIVO COM PUBLICAÇÃO","INATIVO"),IF($I165="","REVISAR DADOS",IF($K165&gt;0,"EXPOSIÇÃO ACIMA DO DISPONÍVEL",IF($I165=0,"SEM SALDO DISPONÍVEL",IF($G165="","SEM DATA",IF('Configurações'!$B$5-$G165&gt;'Configurações'!$B$4,"ATUALIZAÇÃO VENCIDA","OK")))))))</f>
        <v/>
      </c>
      <c r="M165" s="25">
        <f>IF(COUNTA($A165:$G165)=0,"",IF($A165="","SKU AUSENTE",IF(COUNTIF($A$6:$A$205,$A165)&gt;1,"SKU DUPLICADO",IF($B165="","PRODUTO AUSENTE",IF(AND($C165&lt;&gt;"Ativo",$C165&lt;&gt;"Inativo"),"STATUS INVÁLIDO",IF(IFERROR(OR(NOT(ISNUMBER($D165)),$D165&lt;0,MOD($D165,1)&lt;&gt;0),TRUE),"SALDO FÍSICO INVÁLIDO",IF(IFERROR(OR(NOT(ISNUMBER($E165)),$E165&lt;0,MOD($E165,1)&lt;&gt;0),TRUE),"RESERVAS INVÁLIDAS",IF(AND($F165&lt;&gt;"",IFERROR(OR(NOT(ISNUMBER($F165)),$F165&lt;0,MOD($F165,1)&lt;&gt;0),TRUE)),"ESTOQUE DE SEGURANÇA INVÁLIDO",IF(IFERROR(OR(NOT(ISNUMBER($G165)),$G165&gt;'Configurações'!$B$5),TRUE),"DATA INVÁLIDA",IF($E165&gt;$D165,"RESERVAS MAIORES QUE O SALDO","OK"))))))))))</f>
        <v/>
      </c>
    </row>
    <row r="166">
      <c r="A166" s="21" t="n"/>
      <c r="B166" s="21" t="n"/>
      <c r="C166" s="21" t="n"/>
      <c r="D166" s="22" t="n"/>
      <c r="E166" s="22" t="n"/>
      <c r="F166" s="22" t="n"/>
      <c r="G166" s="23" t="n"/>
      <c r="H166" s="24">
        <f>IF($A166="","",IFERROR(SUMIFS('Conciliação'!$G$6:$G$305,'Conciliação'!$B$6:$B$305,$A166,'Conciliação'!$S$6:$S$305,"OK"),0))</f>
        <v/>
      </c>
      <c r="I166" s="24">
        <f>IF($A166="","",IF(OR(NOT(ISNUMBER($D166)),NOT(ISNUMBER($E166)),AND($F166&lt;&gt;"",NOT(ISNUMBER($F166)))),"",MAX(0,$D166-$E166-$H166-IF($F166="",'Configurações'!$B$2,$F166))))</f>
        <v/>
      </c>
      <c r="J166" s="24">
        <f>IF($A166="","",IFERROR(SUMIFS('Conciliação'!$F$6:$F$305,'Conciliação'!$B$6:$B$305,$A166,'Conciliação'!$S$6:$S$305,"OK"),0))</f>
        <v/>
      </c>
      <c r="K166" s="24">
        <f>IF(OR($I166="",$J166=""),"",MAX(0,$J166-$I166))</f>
        <v/>
      </c>
      <c r="L166" s="25">
        <f>IF($A166="","",IF($C166="Inativo",IF($J166&gt;0,"INATIVO COM PUBLICAÇÃO","INATIVO"),IF($I166="","REVISAR DADOS",IF($K166&gt;0,"EXPOSIÇÃO ACIMA DO DISPONÍVEL",IF($I166=0,"SEM SALDO DISPONÍVEL",IF($G166="","SEM DATA",IF('Configurações'!$B$5-$G166&gt;'Configurações'!$B$4,"ATUALIZAÇÃO VENCIDA","OK")))))))</f>
        <v/>
      </c>
      <c r="M166" s="25">
        <f>IF(COUNTA($A166:$G166)=0,"",IF($A166="","SKU AUSENTE",IF(COUNTIF($A$6:$A$205,$A166)&gt;1,"SKU DUPLICADO",IF($B166="","PRODUTO AUSENTE",IF(AND($C166&lt;&gt;"Ativo",$C166&lt;&gt;"Inativo"),"STATUS INVÁLIDO",IF(IFERROR(OR(NOT(ISNUMBER($D166)),$D166&lt;0,MOD($D166,1)&lt;&gt;0),TRUE),"SALDO FÍSICO INVÁLIDO",IF(IFERROR(OR(NOT(ISNUMBER($E166)),$E166&lt;0,MOD($E166,1)&lt;&gt;0),TRUE),"RESERVAS INVÁLIDAS",IF(AND($F166&lt;&gt;"",IFERROR(OR(NOT(ISNUMBER($F166)),$F166&lt;0,MOD($F166,1)&lt;&gt;0),TRUE)),"ESTOQUE DE SEGURANÇA INVÁLIDO",IF(IFERROR(OR(NOT(ISNUMBER($G166)),$G166&gt;'Configurações'!$B$5),TRUE),"DATA INVÁLIDA",IF($E166&gt;$D166,"RESERVAS MAIORES QUE O SALDO","OK"))))))))))</f>
        <v/>
      </c>
    </row>
    <row r="167">
      <c r="A167" s="21" t="n"/>
      <c r="B167" s="21" t="n"/>
      <c r="C167" s="21" t="n"/>
      <c r="D167" s="22" t="n"/>
      <c r="E167" s="22" t="n"/>
      <c r="F167" s="22" t="n"/>
      <c r="G167" s="23" t="n"/>
      <c r="H167" s="24">
        <f>IF($A167="","",IFERROR(SUMIFS('Conciliação'!$G$6:$G$305,'Conciliação'!$B$6:$B$305,$A167,'Conciliação'!$S$6:$S$305,"OK"),0))</f>
        <v/>
      </c>
      <c r="I167" s="24">
        <f>IF($A167="","",IF(OR(NOT(ISNUMBER($D167)),NOT(ISNUMBER($E167)),AND($F167&lt;&gt;"",NOT(ISNUMBER($F167)))),"",MAX(0,$D167-$E167-$H167-IF($F167="",'Configurações'!$B$2,$F167))))</f>
        <v/>
      </c>
      <c r="J167" s="24">
        <f>IF($A167="","",IFERROR(SUMIFS('Conciliação'!$F$6:$F$305,'Conciliação'!$B$6:$B$305,$A167,'Conciliação'!$S$6:$S$305,"OK"),0))</f>
        <v/>
      </c>
      <c r="K167" s="24">
        <f>IF(OR($I167="",$J167=""),"",MAX(0,$J167-$I167))</f>
        <v/>
      </c>
      <c r="L167" s="25">
        <f>IF($A167="","",IF($C167="Inativo",IF($J167&gt;0,"INATIVO COM PUBLICAÇÃO","INATIVO"),IF($I167="","REVISAR DADOS",IF($K167&gt;0,"EXPOSIÇÃO ACIMA DO DISPONÍVEL",IF($I167=0,"SEM SALDO DISPONÍVEL",IF($G167="","SEM DATA",IF('Configurações'!$B$5-$G167&gt;'Configurações'!$B$4,"ATUALIZAÇÃO VENCIDA","OK")))))))</f>
        <v/>
      </c>
      <c r="M167" s="25">
        <f>IF(COUNTA($A167:$G167)=0,"",IF($A167="","SKU AUSENTE",IF(COUNTIF($A$6:$A$205,$A167)&gt;1,"SKU DUPLICADO",IF($B167="","PRODUTO AUSENTE",IF(AND($C167&lt;&gt;"Ativo",$C167&lt;&gt;"Inativo"),"STATUS INVÁLIDO",IF(IFERROR(OR(NOT(ISNUMBER($D167)),$D167&lt;0,MOD($D167,1)&lt;&gt;0),TRUE),"SALDO FÍSICO INVÁLIDO",IF(IFERROR(OR(NOT(ISNUMBER($E167)),$E167&lt;0,MOD($E167,1)&lt;&gt;0),TRUE),"RESERVAS INVÁLIDAS",IF(AND($F167&lt;&gt;"",IFERROR(OR(NOT(ISNUMBER($F167)),$F167&lt;0,MOD($F167,1)&lt;&gt;0),TRUE)),"ESTOQUE DE SEGURANÇA INVÁLIDO",IF(IFERROR(OR(NOT(ISNUMBER($G167)),$G167&gt;'Configurações'!$B$5),TRUE),"DATA INVÁLIDA",IF($E167&gt;$D167,"RESERVAS MAIORES QUE O SALDO","OK"))))))))))</f>
        <v/>
      </c>
    </row>
    <row r="168">
      <c r="A168" s="21" t="n"/>
      <c r="B168" s="21" t="n"/>
      <c r="C168" s="21" t="n"/>
      <c r="D168" s="22" t="n"/>
      <c r="E168" s="22" t="n"/>
      <c r="F168" s="22" t="n"/>
      <c r="G168" s="23" t="n"/>
      <c r="H168" s="24">
        <f>IF($A168="","",IFERROR(SUMIFS('Conciliação'!$G$6:$G$305,'Conciliação'!$B$6:$B$305,$A168,'Conciliação'!$S$6:$S$305,"OK"),0))</f>
        <v/>
      </c>
      <c r="I168" s="24">
        <f>IF($A168="","",IF(OR(NOT(ISNUMBER($D168)),NOT(ISNUMBER($E168)),AND($F168&lt;&gt;"",NOT(ISNUMBER($F168)))),"",MAX(0,$D168-$E168-$H168-IF($F168="",'Configurações'!$B$2,$F168))))</f>
        <v/>
      </c>
      <c r="J168" s="24">
        <f>IF($A168="","",IFERROR(SUMIFS('Conciliação'!$F$6:$F$305,'Conciliação'!$B$6:$B$305,$A168,'Conciliação'!$S$6:$S$305,"OK"),0))</f>
        <v/>
      </c>
      <c r="K168" s="24">
        <f>IF(OR($I168="",$J168=""),"",MAX(0,$J168-$I168))</f>
        <v/>
      </c>
      <c r="L168" s="25">
        <f>IF($A168="","",IF($C168="Inativo",IF($J168&gt;0,"INATIVO COM PUBLICAÇÃO","INATIVO"),IF($I168="","REVISAR DADOS",IF($K168&gt;0,"EXPOSIÇÃO ACIMA DO DISPONÍVEL",IF($I168=0,"SEM SALDO DISPONÍVEL",IF($G168="","SEM DATA",IF('Configurações'!$B$5-$G168&gt;'Configurações'!$B$4,"ATUALIZAÇÃO VENCIDA","OK")))))))</f>
        <v/>
      </c>
      <c r="M168" s="25">
        <f>IF(COUNTA($A168:$G168)=0,"",IF($A168="","SKU AUSENTE",IF(COUNTIF($A$6:$A$205,$A168)&gt;1,"SKU DUPLICADO",IF($B168="","PRODUTO AUSENTE",IF(AND($C168&lt;&gt;"Ativo",$C168&lt;&gt;"Inativo"),"STATUS INVÁLIDO",IF(IFERROR(OR(NOT(ISNUMBER($D168)),$D168&lt;0,MOD($D168,1)&lt;&gt;0),TRUE),"SALDO FÍSICO INVÁLIDO",IF(IFERROR(OR(NOT(ISNUMBER($E168)),$E168&lt;0,MOD($E168,1)&lt;&gt;0),TRUE),"RESERVAS INVÁLIDAS",IF(AND($F168&lt;&gt;"",IFERROR(OR(NOT(ISNUMBER($F168)),$F168&lt;0,MOD($F168,1)&lt;&gt;0),TRUE)),"ESTOQUE DE SEGURANÇA INVÁLIDO",IF(IFERROR(OR(NOT(ISNUMBER($G168)),$G168&gt;'Configurações'!$B$5),TRUE),"DATA INVÁLIDA",IF($E168&gt;$D168,"RESERVAS MAIORES QUE O SALDO","OK"))))))))))</f>
        <v/>
      </c>
    </row>
    <row r="169">
      <c r="A169" s="21" t="n"/>
      <c r="B169" s="21" t="n"/>
      <c r="C169" s="21" t="n"/>
      <c r="D169" s="22" t="n"/>
      <c r="E169" s="22" t="n"/>
      <c r="F169" s="22" t="n"/>
      <c r="G169" s="23" t="n"/>
      <c r="H169" s="24">
        <f>IF($A169="","",IFERROR(SUMIFS('Conciliação'!$G$6:$G$305,'Conciliação'!$B$6:$B$305,$A169,'Conciliação'!$S$6:$S$305,"OK"),0))</f>
        <v/>
      </c>
      <c r="I169" s="24">
        <f>IF($A169="","",IF(OR(NOT(ISNUMBER($D169)),NOT(ISNUMBER($E169)),AND($F169&lt;&gt;"",NOT(ISNUMBER($F169)))),"",MAX(0,$D169-$E169-$H169-IF($F169="",'Configurações'!$B$2,$F169))))</f>
        <v/>
      </c>
      <c r="J169" s="24">
        <f>IF($A169="","",IFERROR(SUMIFS('Conciliação'!$F$6:$F$305,'Conciliação'!$B$6:$B$305,$A169,'Conciliação'!$S$6:$S$305,"OK"),0))</f>
        <v/>
      </c>
      <c r="K169" s="24">
        <f>IF(OR($I169="",$J169=""),"",MAX(0,$J169-$I169))</f>
        <v/>
      </c>
      <c r="L169" s="25">
        <f>IF($A169="","",IF($C169="Inativo",IF($J169&gt;0,"INATIVO COM PUBLICAÇÃO","INATIVO"),IF($I169="","REVISAR DADOS",IF($K169&gt;0,"EXPOSIÇÃO ACIMA DO DISPONÍVEL",IF($I169=0,"SEM SALDO DISPONÍVEL",IF($G169="","SEM DATA",IF('Configurações'!$B$5-$G169&gt;'Configurações'!$B$4,"ATUALIZAÇÃO VENCIDA","OK")))))))</f>
        <v/>
      </c>
      <c r="M169" s="25">
        <f>IF(COUNTA($A169:$G169)=0,"",IF($A169="","SKU AUSENTE",IF(COUNTIF($A$6:$A$205,$A169)&gt;1,"SKU DUPLICADO",IF($B169="","PRODUTO AUSENTE",IF(AND($C169&lt;&gt;"Ativo",$C169&lt;&gt;"Inativo"),"STATUS INVÁLIDO",IF(IFERROR(OR(NOT(ISNUMBER($D169)),$D169&lt;0,MOD($D169,1)&lt;&gt;0),TRUE),"SALDO FÍSICO INVÁLIDO",IF(IFERROR(OR(NOT(ISNUMBER($E169)),$E169&lt;0,MOD($E169,1)&lt;&gt;0),TRUE),"RESERVAS INVÁLIDAS",IF(AND($F169&lt;&gt;"",IFERROR(OR(NOT(ISNUMBER($F169)),$F169&lt;0,MOD($F169,1)&lt;&gt;0),TRUE)),"ESTOQUE DE SEGURANÇA INVÁLIDO",IF(IFERROR(OR(NOT(ISNUMBER($G169)),$G169&gt;'Configurações'!$B$5),TRUE),"DATA INVÁLIDA",IF($E169&gt;$D169,"RESERVAS MAIORES QUE O SALDO","OK"))))))))))</f>
        <v/>
      </c>
    </row>
    <row r="170">
      <c r="A170" s="21" t="n"/>
      <c r="B170" s="21" t="n"/>
      <c r="C170" s="21" t="n"/>
      <c r="D170" s="22" t="n"/>
      <c r="E170" s="22" t="n"/>
      <c r="F170" s="22" t="n"/>
      <c r="G170" s="23" t="n"/>
      <c r="H170" s="24">
        <f>IF($A170="","",IFERROR(SUMIFS('Conciliação'!$G$6:$G$305,'Conciliação'!$B$6:$B$305,$A170,'Conciliação'!$S$6:$S$305,"OK"),0))</f>
        <v/>
      </c>
      <c r="I170" s="24">
        <f>IF($A170="","",IF(OR(NOT(ISNUMBER($D170)),NOT(ISNUMBER($E170)),AND($F170&lt;&gt;"",NOT(ISNUMBER($F170)))),"",MAX(0,$D170-$E170-$H170-IF($F170="",'Configurações'!$B$2,$F170))))</f>
        <v/>
      </c>
      <c r="J170" s="24">
        <f>IF($A170="","",IFERROR(SUMIFS('Conciliação'!$F$6:$F$305,'Conciliação'!$B$6:$B$305,$A170,'Conciliação'!$S$6:$S$305,"OK"),0))</f>
        <v/>
      </c>
      <c r="K170" s="24">
        <f>IF(OR($I170="",$J170=""),"",MAX(0,$J170-$I170))</f>
        <v/>
      </c>
      <c r="L170" s="25">
        <f>IF($A170="","",IF($C170="Inativo",IF($J170&gt;0,"INATIVO COM PUBLICAÇÃO","INATIVO"),IF($I170="","REVISAR DADOS",IF($K170&gt;0,"EXPOSIÇÃO ACIMA DO DISPONÍVEL",IF($I170=0,"SEM SALDO DISPONÍVEL",IF($G170="","SEM DATA",IF('Configurações'!$B$5-$G170&gt;'Configurações'!$B$4,"ATUALIZAÇÃO VENCIDA","OK")))))))</f>
        <v/>
      </c>
      <c r="M170" s="25">
        <f>IF(COUNTA($A170:$G170)=0,"",IF($A170="","SKU AUSENTE",IF(COUNTIF($A$6:$A$205,$A170)&gt;1,"SKU DUPLICADO",IF($B170="","PRODUTO AUSENTE",IF(AND($C170&lt;&gt;"Ativo",$C170&lt;&gt;"Inativo"),"STATUS INVÁLIDO",IF(IFERROR(OR(NOT(ISNUMBER($D170)),$D170&lt;0,MOD($D170,1)&lt;&gt;0),TRUE),"SALDO FÍSICO INVÁLIDO",IF(IFERROR(OR(NOT(ISNUMBER($E170)),$E170&lt;0,MOD($E170,1)&lt;&gt;0),TRUE),"RESERVAS INVÁLIDAS",IF(AND($F170&lt;&gt;"",IFERROR(OR(NOT(ISNUMBER($F170)),$F170&lt;0,MOD($F170,1)&lt;&gt;0),TRUE)),"ESTOQUE DE SEGURANÇA INVÁLIDO",IF(IFERROR(OR(NOT(ISNUMBER($G170)),$G170&gt;'Configurações'!$B$5),TRUE),"DATA INVÁLIDA",IF($E170&gt;$D170,"RESERVAS MAIORES QUE O SALDO","OK"))))))))))</f>
        <v/>
      </c>
    </row>
    <row r="171">
      <c r="A171" s="21" t="n"/>
      <c r="B171" s="21" t="n"/>
      <c r="C171" s="21" t="n"/>
      <c r="D171" s="22" t="n"/>
      <c r="E171" s="22" t="n"/>
      <c r="F171" s="22" t="n"/>
      <c r="G171" s="23" t="n"/>
      <c r="H171" s="24">
        <f>IF($A171="","",IFERROR(SUMIFS('Conciliação'!$G$6:$G$305,'Conciliação'!$B$6:$B$305,$A171,'Conciliação'!$S$6:$S$305,"OK"),0))</f>
        <v/>
      </c>
      <c r="I171" s="24">
        <f>IF($A171="","",IF(OR(NOT(ISNUMBER($D171)),NOT(ISNUMBER($E171)),AND($F171&lt;&gt;"",NOT(ISNUMBER($F171)))),"",MAX(0,$D171-$E171-$H171-IF($F171="",'Configurações'!$B$2,$F171))))</f>
        <v/>
      </c>
      <c r="J171" s="24">
        <f>IF($A171="","",IFERROR(SUMIFS('Conciliação'!$F$6:$F$305,'Conciliação'!$B$6:$B$305,$A171,'Conciliação'!$S$6:$S$305,"OK"),0))</f>
        <v/>
      </c>
      <c r="K171" s="24">
        <f>IF(OR($I171="",$J171=""),"",MAX(0,$J171-$I171))</f>
        <v/>
      </c>
      <c r="L171" s="25">
        <f>IF($A171="","",IF($C171="Inativo",IF($J171&gt;0,"INATIVO COM PUBLICAÇÃO","INATIVO"),IF($I171="","REVISAR DADOS",IF($K171&gt;0,"EXPOSIÇÃO ACIMA DO DISPONÍVEL",IF($I171=0,"SEM SALDO DISPONÍVEL",IF($G171="","SEM DATA",IF('Configurações'!$B$5-$G171&gt;'Configurações'!$B$4,"ATUALIZAÇÃO VENCIDA","OK")))))))</f>
        <v/>
      </c>
      <c r="M171" s="25">
        <f>IF(COUNTA($A171:$G171)=0,"",IF($A171="","SKU AUSENTE",IF(COUNTIF($A$6:$A$205,$A171)&gt;1,"SKU DUPLICADO",IF($B171="","PRODUTO AUSENTE",IF(AND($C171&lt;&gt;"Ativo",$C171&lt;&gt;"Inativo"),"STATUS INVÁLIDO",IF(IFERROR(OR(NOT(ISNUMBER($D171)),$D171&lt;0,MOD($D171,1)&lt;&gt;0),TRUE),"SALDO FÍSICO INVÁLIDO",IF(IFERROR(OR(NOT(ISNUMBER($E171)),$E171&lt;0,MOD($E171,1)&lt;&gt;0),TRUE),"RESERVAS INVÁLIDAS",IF(AND($F171&lt;&gt;"",IFERROR(OR(NOT(ISNUMBER($F171)),$F171&lt;0,MOD($F171,1)&lt;&gt;0),TRUE)),"ESTOQUE DE SEGURANÇA INVÁLIDO",IF(IFERROR(OR(NOT(ISNUMBER($G171)),$G171&gt;'Configurações'!$B$5),TRUE),"DATA INVÁLIDA",IF($E171&gt;$D171,"RESERVAS MAIORES QUE O SALDO","OK"))))))))))</f>
        <v/>
      </c>
    </row>
    <row r="172">
      <c r="A172" s="21" t="n"/>
      <c r="B172" s="21" t="n"/>
      <c r="C172" s="21" t="n"/>
      <c r="D172" s="22" t="n"/>
      <c r="E172" s="22" t="n"/>
      <c r="F172" s="22" t="n"/>
      <c r="G172" s="23" t="n"/>
      <c r="H172" s="24">
        <f>IF($A172="","",IFERROR(SUMIFS('Conciliação'!$G$6:$G$305,'Conciliação'!$B$6:$B$305,$A172,'Conciliação'!$S$6:$S$305,"OK"),0))</f>
        <v/>
      </c>
      <c r="I172" s="24">
        <f>IF($A172="","",IF(OR(NOT(ISNUMBER($D172)),NOT(ISNUMBER($E172)),AND($F172&lt;&gt;"",NOT(ISNUMBER($F172)))),"",MAX(0,$D172-$E172-$H172-IF($F172="",'Configurações'!$B$2,$F172))))</f>
        <v/>
      </c>
      <c r="J172" s="24">
        <f>IF($A172="","",IFERROR(SUMIFS('Conciliação'!$F$6:$F$305,'Conciliação'!$B$6:$B$305,$A172,'Conciliação'!$S$6:$S$305,"OK"),0))</f>
        <v/>
      </c>
      <c r="K172" s="24">
        <f>IF(OR($I172="",$J172=""),"",MAX(0,$J172-$I172))</f>
        <v/>
      </c>
      <c r="L172" s="25">
        <f>IF($A172="","",IF($C172="Inativo",IF($J172&gt;0,"INATIVO COM PUBLICAÇÃO","INATIVO"),IF($I172="","REVISAR DADOS",IF($K172&gt;0,"EXPOSIÇÃO ACIMA DO DISPONÍVEL",IF($I172=0,"SEM SALDO DISPONÍVEL",IF($G172="","SEM DATA",IF('Configurações'!$B$5-$G172&gt;'Configurações'!$B$4,"ATUALIZAÇÃO VENCIDA","OK")))))))</f>
        <v/>
      </c>
      <c r="M172" s="25">
        <f>IF(COUNTA($A172:$G172)=0,"",IF($A172="","SKU AUSENTE",IF(COUNTIF($A$6:$A$205,$A172)&gt;1,"SKU DUPLICADO",IF($B172="","PRODUTO AUSENTE",IF(AND($C172&lt;&gt;"Ativo",$C172&lt;&gt;"Inativo"),"STATUS INVÁLIDO",IF(IFERROR(OR(NOT(ISNUMBER($D172)),$D172&lt;0,MOD($D172,1)&lt;&gt;0),TRUE),"SALDO FÍSICO INVÁLIDO",IF(IFERROR(OR(NOT(ISNUMBER($E172)),$E172&lt;0,MOD($E172,1)&lt;&gt;0),TRUE),"RESERVAS INVÁLIDAS",IF(AND($F172&lt;&gt;"",IFERROR(OR(NOT(ISNUMBER($F172)),$F172&lt;0,MOD($F172,1)&lt;&gt;0),TRUE)),"ESTOQUE DE SEGURANÇA INVÁLIDO",IF(IFERROR(OR(NOT(ISNUMBER($G172)),$G172&gt;'Configurações'!$B$5),TRUE),"DATA INVÁLIDA",IF($E172&gt;$D172,"RESERVAS MAIORES QUE O SALDO","OK"))))))))))</f>
        <v/>
      </c>
    </row>
    <row r="173">
      <c r="A173" s="21" t="n"/>
      <c r="B173" s="21" t="n"/>
      <c r="C173" s="21" t="n"/>
      <c r="D173" s="22" t="n"/>
      <c r="E173" s="22" t="n"/>
      <c r="F173" s="22" t="n"/>
      <c r="G173" s="23" t="n"/>
      <c r="H173" s="24">
        <f>IF($A173="","",IFERROR(SUMIFS('Conciliação'!$G$6:$G$305,'Conciliação'!$B$6:$B$305,$A173,'Conciliação'!$S$6:$S$305,"OK"),0))</f>
        <v/>
      </c>
      <c r="I173" s="24">
        <f>IF($A173="","",IF(OR(NOT(ISNUMBER($D173)),NOT(ISNUMBER($E173)),AND($F173&lt;&gt;"",NOT(ISNUMBER($F173)))),"",MAX(0,$D173-$E173-$H173-IF($F173="",'Configurações'!$B$2,$F173))))</f>
        <v/>
      </c>
      <c r="J173" s="24">
        <f>IF($A173="","",IFERROR(SUMIFS('Conciliação'!$F$6:$F$305,'Conciliação'!$B$6:$B$305,$A173,'Conciliação'!$S$6:$S$305,"OK"),0))</f>
        <v/>
      </c>
      <c r="K173" s="24">
        <f>IF(OR($I173="",$J173=""),"",MAX(0,$J173-$I173))</f>
        <v/>
      </c>
      <c r="L173" s="25">
        <f>IF($A173="","",IF($C173="Inativo",IF($J173&gt;0,"INATIVO COM PUBLICAÇÃO","INATIVO"),IF($I173="","REVISAR DADOS",IF($K173&gt;0,"EXPOSIÇÃO ACIMA DO DISPONÍVEL",IF($I173=0,"SEM SALDO DISPONÍVEL",IF($G173="","SEM DATA",IF('Configurações'!$B$5-$G173&gt;'Configurações'!$B$4,"ATUALIZAÇÃO VENCIDA","OK")))))))</f>
        <v/>
      </c>
      <c r="M173" s="25">
        <f>IF(COUNTA($A173:$G173)=0,"",IF($A173="","SKU AUSENTE",IF(COUNTIF($A$6:$A$205,$A173)&gt;1,"SKU DUPLICADO",IF($B173="","PRODUTO AUSENTE",IF(AND($C173&lt;&gt;"Ativo",$C173&lt;&gt;"Inativo"),"STATUS INVÁLIDO",IF(IFERROR(OR(NOT(ISNUMBER($D173)),$D173&lt;0,MOD($D173,1)&lt;&gt;0),TRUE),"SALDO FÍSICO INVÁLIDO",IF(IFERROR(OR(NOT(ISNUMBER($E173)),$E173&lt;0,MOD($E173,1)&lt;&gt;0),TRUE),"RESERVAS INVÁLIDAS",IF(AND($F173&lt;&gt;"",IFERROR(OR(NOT(ISNUMBER($F173)),$F173&lt;0,MOD($F173,1)&lt;&gt;0),TRUE)),"ESTOQUE DE SEGURANÇA INVÁLIDO",IF(IFERROR(OR(NOT(ISNUMBER($G173)),$G173&gt;'Configurações'!$B$5),TRUE),"DATA INVÁLIDA",IF($E173&gt;$D173,"RESERVAS MAIORES QUE O SALDO","OK"))))))))))</f>
        <v/>
      </c>
    </row>
    <row r="174">
      <c r="A174" s="21" t="n"/>
      <c r="B174" s="21" t="n"/>
      <c r="C174" s="21" t="n"/>
      <c r="D174" s="22" t="n"/>
      <c r="E174" s="22" t="n"/>
      <c r="F174" s="22" t="n"/>
      <c r="G174" s="23" t="n"/>
      <c r="H174" s="24">
        <f>IF($A174="","",IFERROR(SUMIFS('Conciliação'!$G$6:$G$305,'Conciliação'!$B$6:$B$305,$A174,'Conciliação'!$S$6:$S$305,"OK"),0))</f>
        <v/>
      </c>
      <c r="I174" s="24">
        <f>IF($A174="","",IF(OR(NOT(ISNUMBER($D174)),NOT(ISNUMBER($E174)),AND($F174&lt;&gt;"",NOT(ISNUMBER($F174)))),"",MAX(0,$D174-$E174-$H174-IF($F174="",'Configurações'!$B$2,$F174))))</f>
        <v/>
      </c>
      <c r="J174" s="24">
        <f>IF($A174="","",IFERROR(SUMIFS('Conciliação'!$F$6:$F$305,'Conciliação'!$B$6:$B$305,$A174,'Conciliação'!$S$6:$S$305,"OK"),0))</f>
        <v/>
      </c>
      <c r="K174" s="24">
        <f>IF(OR($I174="",$J174=""),"",MAX(0,$J174-$I174))</f>
        <v/>
      </c>
      <c r="L174" s="25">
        <f>IF($A174="","",IF($C174="Inativo",IF($J174&gt;0,"INATIVO COM PUBLICAÇÃO","INATIVO"),IF($I174="","REVISAR DADOS",IF($K174&gt;0,"EXPOSIÇÃO ACIMA DO DISPONÍVEL",IF($I174=0,"SEM SALDO DISPONÍVEL",IF($G174="","SEM DATA",IF('Configurações'!$B$5-$G174&gt;'Configurações'!$B$4,"ATUALIZAÇÃO VENCIDA","OK")))))))</f>
        <v/>
      </c>
      <c r="M174" s="25">
        <f>IF(COUNTA($A174:$G174)=0,"",IF($A174="","SKU AUSENTE",IF(COUNTIF($A$6:$A$205,$A174)&gt;1,"SKU DUPLICADO",IF($B174="","PRODUTO AUSENTE",IF(AND($C174&lt;&gt;"Ativo",$C174&lt;&gt;"Inativo"),"STATUS INVÁLIDO",IF(IFERROR(OR(NOT(ISNUMBER($D174)),$D174&lt;0,MOD($D174,1)&lt;&gt;0),TRUE),"SALDO FÍSICO INVÁLIDO",IF(IFERROR(OR(NOT(ISNUMBER($E174)),$E174&lt;0,MOD($E174,1)&lt;&gt;0),TRUE),"RESERVAS INVÁLIDAS",IF(AND($F174&lt;&gt;"",IFERROR(OR(NOT(ISNUMBER($F174)),$F174&lt;0,MOD($F174,1)&lt;&gt;0),TRUE)),"ESTOQUE DE SEGURANÇA INVÁLIDO",IF(IFERROR(OR(NOT(ISNUMBER($G174)),$G174&gt;'Configurações'!$B$5),TRUE),"DATA INVÁLIDA",IF($E174&gt;$D174,"RESERVAS MAIORES QUE O SALDO","OK"))))))))))</f>
        <v/>
      </c>
    </row>
    <row r="175">
      <c r="A175" s="21" t="n"/>
      <c r="B175" s="21" t="n"/>
      <c r="C175" s="21" t="n"/>
      <c r="D175" s="22" t="n"/>
      <c r="E175" s="22" t="n"/>
      <c r="F175" s="22" t="n"/>
      <c r="G175" s="23" t="n"/>
      <c r="H175" s="24">
        <f>IF($A175="","",IFERROR(SUMIFS('Conciliação'!$G$6:$G$305,'Conciliação'!$B$6:$B$305,$A175,'Conciliação'!$S$6:$S$305,"OK"),0))</f>
        <v/>
      </c>
      <c r="I175" s="24">
        <f>IF($A175="","",IF(OR(NOT(ISNUMBER($D175)),NOT(ISNUMBER($E175)),AND($F175&lt;&gt;"",NOT(ISNUMBER($F175)))),"",MAX(0,$D175-$E175-$H175-IF($F175="",'Configurações'!$B$2,$F175))))</f>
        <v/>
      </c>
      <c r="J175" s="24">
        <f>IF($A175="","",IFERROR(SUMIFS('Conciliação'!$F$6:$F$305,'Conciliação'!$B$6:$B$305,$A175,'Conciliação'!$S$6:$S$305,"OK"),0))</f>
        <v/>
      </c>
      <c r="K175" s="24">
        <f>IF(OR($I175="",$J175=""),"",MAX(0,$J175-$I175))</f>
        <v/>
      </c>
      <c r="L175" s="25">
        <f>IF($A175="","",IF($C175="Inativo",IF($J175&gt;0,"INATIVO COM PUBLICAÇÃO","INATIVO"),IF($I175="","REVISAR DADOS",IF($K175&gt;0,"EXPOSIÇÃO ACIMA DO DISPONÍVEL",IF($I175=0,"SEM SALDO DISPONÍVEL",IF($G175="","SEM DATA",IF('Configurações'!$B$5-$G175&gt;'Configurações'!$B$4,"ATUALIZAÇÃO VENCIDA","OK")))))))</f>
        <v/>
      </c>
      <c r="M175" s="25">
        <f>IF(COUNTA($A175:$G175)=0,"",IF($A175="","SKU AUSENTE",IF(COUNTIF($A$6:$A$205,$A175)&gt;1,"SKU DUPLICADO",IF($B175="","PRODUTO AUSENTE",IF(AND($C175&lt;&gt;"Ativo",$C175&lt;&gt;"Inativo"),"STATUS INVÁLIDO",IF(IFERROR(OR(NOT(ISNUMBER($D175)),$D175&lt;0,MOD($D175,1)&lt;&gt;0),TRUE),"SALDO FÍSICO INVÁLIDO",IF(IFERROR(OR(NOT(ISNUMBER($E175)),$E175&lt;0,MOD($E175,1)&lt;&gt;0),TRUE),"RESERVAS INVÁLIDAS",IF(AND($F175&lt;&gt;"",IFERROR(OR(NOT(ISNUMBER($F175)),$F175&lt;0,MOD($F175,1)&lt;&gt;0),TRUE)),"ESTOQUE DE SEGURANÇA INVÁLIDO",IF(IFERROR(OR(NOT(ISNUMBER($G175)),$G175&gt;'Configurações'!$B$5),TRUE),"DATA INVÁLIDA",IF($E175&gt;$D175,"RESERVAS MAIORES QUE O SALDO","OK"))))))))))</f>
        <v/>
      </c>
    </row>
    <row r="176">
      <c r="A176" s="21" t="n"/>
      <c r="B176" s="21" t="n"/>
      <c r="C176" s="21" t="n"/>
      <c r="D176" s="22" t="n"/>
      <c r="E176" s="22" t="n"/>
      <c r="F176" s="22" t="n"/>
      <c r="G176" s="23" t="n"/>
      <c r="H176" s="24">
        <f>IF($A176="","",IFERROR(SUMIFS('Conciliação'!$G$6:$G$305,'Conciliação'!$B$6:$B$305,$A176,'Conciliação'!$S$6:$S$305,"OK"),0))</f>
        <v/>
      </c>
      <c r="I176" s="24">
        <f>IF($A176="","",IF(OR(NOT(ISNUMBER($D176)),NOT(ISNUMBER($E176)),AND($F176&lt;&gt;"",NOT(ISNUMBER($F176)))),"",MAX(0,$D176-$E176-$H176-IF($F176="",'Configurações'!$B$2,$F176))))</f>
        <v/>
      </c>
      <c r="J176" s="24">
        <f>IF($A176="","",IFERROR(SUMIFS('Conciliação'!$F$6:$F$305,'Conciliação'!$B$6:$B$305,$A176,'Conciliação'!$S$6:$S$305,"OK"),0))</f>
        <v/>
      </c>
      <c r="K176" s="24">
        <f>IF(OR($I176="",$J176=""),"",MAX(0,$J176-$I176))</f>
        <v/>
      </c>
      <c r="L176" s="25">
        <f>IF($A176="","",IF($C176="Inativo",IF($J176&gt;0,"INATIVO COM PUBLICAÇÃO","INATIVO"),IF($I176="","REVISAR DADOS",IF($K176&gt;0,"EXPOSIÇÃO ACIMA DO DISPONÍVEL",IF($I176=0,"SEM SALDO DISPONÍVEL",IF($G176="","SEM DATA",IF('Configurações'!$B$5-$G176&gt;'Configurações'!$B$4,"ATUALIZAÇÃO VENCIDA","OK")))))))</f>
        <v/>
      </c>
      <c r="M176" s="25">
        <f>IF(COUNTA($A176:$G176)=0,"",IF($A176="","SKU AUSENTE",IF(COUNTIF($A$6:$A$205,$A176)&gt;1,"SKU DUPLICADO",IF($B176="","PRODUTO AUSENTE",IF(AND($C176&lt;&gt;"Ativo",$C176&lt;&gt;"Inativo"),"STATUS INVÁLIDO",IF(IFERROR(OR(NOT(ISNUMBER($D176)),$D176&lt;0,MOD($D176,1)&lt;&gt;0),TRUE),"SALDO FÍSICO INVÁLIDO",IF(IFERROR(OR(NOT(ISNUMBER($E176)),$E176&lt;0,MOD($E176,1)&lt;&gt;0),TRUE),"RESERVAS INVÁLIDAS",IF(AND($F176&lt;&gt;"",IFERROR(OR(NOT(ISNUMBER($F176)),$F176&lt;0,MOD($F176,1)&lt;&gt;0),TRUE)),"ESTOQUE DE SEGURANÇA INVÁLIDO",IF(IFERROR(OR(NOT(ISNUMBER($G176)),$G176&gt;'Configurações'!$B$5),TRUE),"DATA INVÁLIDA",IF($E176&gt;$D176,"RESERVAS MAIORES QUE O SALDO","OK"))))))))))</f>
        <v/>
      </c>
    </row>
    <row r="177">
      <c r="A177" s="21" t="n"/>
      <c r="B177" s="21" t="n"/>
      <c r="C177" s="21" t="n"/>
      <c r="D177" s="22" t="n"/>
      <c r="E177" s="22" t="n"/>
      <c r="F177" s="22" t="n"/>
      <c r="G177" s="23" t="n"/>
      <c r="H177" s="24">
        <f>IF($A177="","",IFERROR(SUMIFS('Conciliação'!$G$6:$G$305,'Conciliação'!$B$6:$B$305,$A177,'Conciliação'!$S$6:$S$305,"OK"),0))</f>
        <v/>
      </c>
      <c r="I177" s="24">
        <f>IF($A177="","",IF(OR(NOT(ISNUMBER($D177)),NOT(ISNUMBER($E177)),AND($F177&lt;&gt;"",NOT(ISNUMBER($F177)))),"",MAX(0,$D177-$E177-$H177-IF($F177="",'Configurações'!$B$2,$F177))))</f>
        <v/>
      </c>
      <c r="J177" s="24">
        <f>IF($A177="","",IFERROR(SUMIFS('Conciliação'!$F$6:$F$305,'Conciliação'!$B$6:$B$305,$A177,'Conciliação'!$S$6:$S$305,"OK"),0))</f>
        <v/>
      </c>
      <c r="K177" s="24">
        <f>IF(OR($I177="",$J177=""),"",MAX(0,$J177-$I177))</f>
        <v/>
      </c>
      <c r="L177" s="25">
        <f>IF($A177="","",IF($C177="Inativo",IF($J177&gt;0,"INATIVO COM PUBLICAÇÃO","INATIVO"),IF($I177="","REVISAR DADOS",IF($K177&gt;0,"EXPOSIÇÃO ACIMA DO DISPONÍVEL",IF($I177=0,"SEM SALDO DISPONÍVEL",IF($G177="","SEM DATA",IF('Configurações'!$B$5-$G177&gt;'Configurações'!$B$4,"ATUALIZAÇÃO VENCIDA","OK")))))))</f>
        <v/>
      </c>
      <c r="M177" s="25">
        <f>IF(COUNTA($A177:$G177)=0,"",IF($A177="","SKU AUSENTE",IF(COUNTIF($A$6:$A$205,$A177)&gt;1,"SKU DUPLICADO",IF($B177="","PRODUTO AUSENTE",IF(AND($C177&lt;&gt;"Ativo",$C177&lt;&gt;"Inativo"),"STATUS INVÁLIDO",IF(IFERROR(OR(NOT(ISNUMBER($D177)),$D177&lt;0,MOD($D177,1)&lt;&gt;0),TRUE),"SALDO FÍSICO INVÁLIDO",IF(IFERROR(OR(NOT(ISNUMBER($E177)),$E177&lt;0,MOD($E177,1)&lt;&gt;0),TRUE),"RESERVAS INVÁLIDAS",IF(AND($F177&lt;&gt;"",IFERROR(OR(NOT(ISNUMBER($F177)),$F177&lt;0,MOD($F177,1)&lt;&gt;0),TRUE)),"ESTOQUE DE SEGURANÇA INVÁLIDO",IF(IFERROR(OR(NOT(ISNUMBER($G177)),$G177&gt;'Configurações'!$B$5),TRUE),"DATA INVÁLIDA",IF($E177&gt;$D177,"RESERVAS MAIORES QUE O SALDO","OK"))))))))))</f>
        <v/>
      </c>
    </row>
    <row r="178">
      <c r="A178" s="21" t="n"/>
      <c r="B178" s="21" t="n"/>
      <c r="C178" s="21" t="n"/>
      <c r="D178" s="22" t="n"/>
      <c r="E178" s="22" t="n"/>
      <c r="F178" s="22" t="n"/>
      <c r="G178" s="23" t="n"/>
      <c r="H178" s="24">
        <f>IF($A178="","",IFERROR(SUMIFS('Conciliação'!$G$6:$G$305,'Conciliação'!$B$6:$B$305,$A178,'Conciliação'!$S$6:$S$305,"OK"),0))</f>
        <v/>
      </c>
      <c r="I178" s="24">
        <f>IF($A178="","",IF(OR(NOT(ISNUMBER($D178)),NOT(ISNUMBER($E178)),AND($F178&lt;&gt;"",NOT(ISNUMBER($F178)))),"",MAX(0,$D178-$E178-$H178-IF($F178="",'Configurações'!$B$2,$F178))))</f>
        <v/>
      </c>
      <c r="J178" s="24">
        <f>IF($A178="","",IFERROR(SUMIFS('Conciliação'!$F$6:$F$305,'Conciliação'!$B$6:$B$305,$A178,'Conciliação'!$S$6:$S$305,"OK"),0))</f>
        <v/>
      </c>
      <c r="K178" s="24">
        <f>IF(OR($I178="",$J178=""),"",MAX(0,$J178-$I178))</f>
        <v/>
      </c>
      <c r="L178" s="25">
        <f>IF($A178="","",IF($C178="Inativo",IF($J178&gt;0,"INATIVO COM PUBLICAÇÃO","INATIVO"),IF($I178="","REVISAR DADOS",IF($K178&gt;0,"EXPOSIÇÃO ACIMA DO DISPONÍVEL",IF($I178=0,"SEM SALDO DISPONÍVEL",IF($G178="","SEM DATA",IF('Configurações'!$B$5-$G178&gt;'Configurações'!$B$4,"ATUALIZAÇÃO VENCIDA","OK")))))))</f>
        <v/>
      </c>
      <c r="M178" s="25">
        <f>IF(COUNTA($A178:$G178)=0,"",IF($A178="","SKU AUSENTE",IF(COUNTIF($A$6:$A$205,$A178)&gt;1,"SKU DUPLICADO",IF($B178="","PRODUTO AUSENTE",IF(AND($C178&lt;&gt;"Ativo",$C178&lt;&gt;"Inativo"),"STATUS INVÁLIDO",IF(IFERROR(OR(NOT(ISNUMBER($D178)),$D178&lt;0,MOD($D178,1)&lt;&gt;0),TRUE),"SALDO FÍSICO INVÁLIDO",IF(IFERROR(OR(NOT(ISNUMBER($E178)),$E178&lt;0,MOD($E178,1)&lt;&gt;0),TRUE),"RESERVAS INVÁLIDAS",IF(AND($F178&lt;&gt;"",IFERROR(OR(NOT(ISNUMBER($F178)),$F178&lt;0,MOD($F178,1)&lt;&gt;0),TRUE)),"ESTOQUE DE SEGURANÇA INVÁLIDO",IF(IFERROR(OR(NOT(ISNUMBER($G178)),$G178&gt;'Configurações'!$B$5),TRUE),"DATA INVÁLIDA",IF($E178&gt;$D178,"RESERVAS MAIORES QUE O SALDO","OK"))))))))))</f>
        <v/>
      </c>
    </row>
    <row r="179">
      <c r="A179" s="21" t="n"/>
      <c r="B179" s="21" t="n"/>
      <c r="C179" s="21" t="n"/>
      <c r="D179" s="22" t="n"/>
      <c r="E179" s="22" t="n"/>
      <c r="F179" s="22" t="n"/>
      <c r="G179" s="23" t="n"/>
      <c r="H179" s="24">
        <f>IF($A179="","",IFERROR(SUMIFS('Conciliação'!$G$6:$G$305,'Conciliação'!$B$6:$B$305,$A179,'Conciliação'!$S$6:$S$305,"OK"),0))</f>
        <v/>
      </c>
      <c r="I179" s="24">
        <f>IF($A179="","",IF(OR(NOT(ISNUMBER($D179)),NOT(ISNUMBER($E179)),AND($F179&lt;&gt;"",NOT(ISNUMBER($F179)))),"",MAX(0,$D179-$E179-$H179-IF($F179="",'Configurações'!$B$2,$F179))))</f>
        <v/>
      </c>
      <c r="J179" s="24">
        <f>IF($A179="","",IFERROR(SUMIFS('Conciliação'!$F$6:$F$305,'Conciliação'!$B$6:$B$305,$A179,'Conciliação'!$S$6:$S$305,"OK"),0))</f>
        <v/>
      </c>
      <c r="K179" s="24">
        <f>IF(OR($I179="",$J179=""),"",MAX(0,$J179-$I179))</f>
        <v/>
      </c>
      <c r="L179" s="25">
        <f>IF($A179="","",IF($C179="Inativo",IF($J179&gt;0,"INATIVO COM PUBLICAÇÃO","INATIVO"),IF($I179="","REVISAR DADOS",IF($K179&gt;0,"EXPOSIÇÃO ACIMA DO DISPONÍVEL",IF($I179=0,"SEM SALDO DISPONÍVEL",IF($G179="","SEM DATA",IF('Configurações'!$B$5-$G179&gt;'Configurações'!$B$4,"ATUALIZAÇÃO VENCIDA","OK")))))))</f>
        <v/>
      </c>
      <c r="M179" s="25">
        <f>IF(COUNTA($A179:$G179)=0,"",IF($A179="","SKU AUSENTE",IF(COUNTIF($A$6:$A$205,$A179)&gt;1,"SKU DUPLICADO",IF($B179="","PRODUTO AUSENTE",IF(AND($C179&lt;&gt;"Ativo",$C179&lt;&gt;"Inativo"),"STATUS INVÁLIDO",IF(IFERROR(OR(NOT(ISNUMBER($D179)),$D179&lt;0,MOD($D179,1)&lt;&gt;0),TRUE),"SALDO FÍSICO INVÁLIDO",IF(IFERROR(OR(NOT(ISNUMBER($E179)),$E179&lt;0,MOD($E179,1)&lt;&gt;0),TRUE),"RESERVAS INVÁLIDAS",IF(AND($F179&lt;&gt;"",IFERROR(OR(NOT(ISNUMBER($F179)),$F179&lt;0,MOD($F179,1)&lt;&gt;0),TRUE)),"ESTOQUE DE SEGURANÇA INVÁLIDO",IF(IFERROR(OR(NOT(ISNUMBER($G179)),$G179&gt;'Configurações'!$B$5),TRUE),"DATA INVÁLIDA",IF($E179&gt;$D179,"RESERVAS MAIORES QUE O SALDO","OK"))))))))))</f>
        <v/>
      </c>
    </row>
    <row r="180">
      <c r="A180" s="21" t="n"/>
      <c r="B180" s="21" t="n"/>
      <c r="C180" s="21" t="n"/>
      <c r="D180" s="22" t="n"/>
      <c r="E180" s="22" t="n"/>
      <c r="F180" s="22" t="n"/>
      <c r="G180" s="23" t="n"/>
      <c r="H180" s="24">
        <f>IF($A180="","",IFERROR(SUMIFS('Conciliação'!$G$6:$G$305,'Conciliação'!$B$6:$B$305,$A180,'Conciliação'!$S$6:$S$305,"OK"),0))</f>
        <v/>
      </c>
      <c r="I180" s="24">
        <f>IF($A180="","",IF(OR(NOT(ISNUMBER($D180)),NOT(ISNUMBER($E180)),AND($F180&lt;&gt;"",NOT(ISNUMBER($F180)))),"",MAX(0,$D180-$E180-$H180-IF($F180="",'Configurações'!$B$2,$F180))))</f>
        <v/>
      </c>
      <c r="J180" s="24">
        <f>IF($A180="","",IFERROR(SUMIFS('Conciliação'!$F$6:$F$305,'Conciliação'!$B$6:$B$305,$A180,'Conciliação'!$S$6:$S$305,"OK"),0))</f>
        <v/>
      </c>
      <c r="K180" s="24">
        <f>IF(OR($I180="",$J180=""),"",MAX(0,$J180-$I180))</f>
        <v/>
      </c>
      <c r="L180" s="25">
        <f>IF($A180="","",IF($C180="Inativo",IF($J180&gt;0,"INATIVO COM PUBLICAÇÃO","INATIVO"),IF($I180="","REVISAR DADOS",IF($K180&gt;0,"EXPOSIÇÃO ACIMA DO DISPONÍVEL",IF($I180=0,"SEM SALDO DISPONÍVEL",IF($G180="","SEM DATA",IF('Configurações'!$B$5-$G180&gt;'Configurações'!$B$4,"ATUALIZAÇÃO VENCIDA","OK")))))))</f>
        <v/>
      </c>
      <c r="M180" s="25">
        <f>IF(COUNTA($A180:$G180)=0,"",IF($A180="","SKU AUSENTE",IF(COUNTIF($A$6:$A$205,$A180)&gt;1,"SKU DUPLICADO",IF($B180="","PRODUTO AUSENTE",IF(AND($C180&lt;&gt;"Ativo",$C180&lt;&gt;"Inativo"),"STATUS INVÁLIDO",IF(IFERROR(OR(NOT(ISNUMBER($D180)),$D180&lt;0,MOD($D180,1)&lt;&gt;0),TRUE),"SALDO FÍSICO INVÁLIDO",IF(IFERROR(OR(NOT(ISNUMBER($E180)),$E180&lt;0,MOD($E180,1)&lt;&gt;0),TRUE),"RESERVAS INVÁLIDAS",IF(AND($F180&lt;&gt;"",IFERROR(OR(NOT(ISNUMBER($F180)),$F180&lt;0,MOD($F180,1)&lt;&gt;0),TRUE)),"ESTOQUE DE SEGURANÇA INVÁLIDO",IF(IFERROR(OR(NOT(ISNUMBER($G180)),$G180&gt;'Configurações'!$B$5),TRUE),"DATA INVÁLIDA",IF($E180&gt;$D180,"RESERVAS MAIORES QUE O SALDO","OK"))))))))))</f>
        <v/>
      </c>
    </row>
    <row r="181">
      <c r="A181" s="21" t="n"/>
      <c r="B181" s="21" t="n"/>
      <c r="C181" s="21" t="n"/>
      <c r="D181" s="22" t="n"/>
      <c r="E181" s="22" t="n"/>
      <c r="F181" s="22" t="n"/>
      <c r="G181" s="23" t="n"/>
      <c r="H181" s="24">
        <f>IF($A181="","",IFERROR(SUMIFS('Conciliação'!$G$6:$G$305,'Conciliação'!$B$6:$B$305,$A181,'Conciliação'!$S$6:$S$305,"OK"),0))</f>
        <v/>
      </c>
      <c r="I181" s="24">
        <f>IF($A181="","",IF(OR(NOT(ISNUMBER($D181)),NOT(ISNUMBER($E181)),AND($F181&lt;&gt;"",NOT(ISNUMBER($F181)))),"",MAX(0,$D181-$E181-$H181-IF($F181="",'Configurações'!$B$2,$F181))))</f>
        <v/>
      </c>
      <c r="J181" s="24">
        <f>IF($A181="","",IFERROR(SUMIFS('Conciliação'!$F$6:$F$305,'Conciliação'!$B$6:$B$305,$A181,'Conciliação'!$S$6:$S$305,"OK"),0))</f>
        <v/>
      </c>
      <c r="K181" s="24">
        <f>IF(OR($I181="",$J181=""),"",MAX(0,$J181-$I181))</f>
        <v/>
      </c>
      <c r="L181" s="25">
        <f>IF($A181="","",IF($C181="Inativo",IF($J181&gt;0,"INATIVO COM PUBLICAÇÃO","INATIVO"),IF($I181="","REVISAR DADOS",IF($K181&gt;0,"EXPOSIÇÃO ACIMA DO DISPONÍVEL",IF($I181=0,"SEM SALDO DISPONÍVEL",IF($G181="","SEM DATA",IF('Configurações'!$B$5-$G181&gt;'Configurações'!$B$4,"ATUALIZAÇÃO VENCIDA","OK")))))))</f>
        <v/>
      </c>
      <c r="M181" s="25">
        <f>IF(COUNTA($A181:$G181)=0,"",IF($A181="","SKU AUSENTE",IF(COUNTIF($A$6:$A$205,$A181)&gt;1,"SKU DUPLICADO",IF($B181="","PRODUTO AUSENTE",IF(AND($C181&lt;&gt;"Ativo",$C181&lt;&gt;"Inativo"),"STATUS INVÁLIDO",IF(IFERROR(OR(NOT(ISNUMBER($D181)),$D181&lt;0,MOD($D181,1)&lt;&gt;0),TRUE),"SALDO FÍSICO INVÁLIDO",IF(IFERROR(OR(NOT(ISNUMBER($E181)),$E181&lt;0,MOD($E181,1)&lt;&gt;0),TRUE),"RESERVAS INVÁLIDAS",IF(AND($F181&lt;&gt;"",IFERROR(OR(NOT(ISNUMBER($F181)),$F181&lt;0,MOD($F181,1)&lt;&gt;0),TRUE)),"ESTOQUE DE SEGURANÇA INVÁLIDO",IF(IFERROR(OR(NOT(ISNUMBER($G181)),$G181&gt;'Configurações'!$B$5),TRUE),"DATA INVÁLIDA",IF($E181&gt;$D181,"RESERVAS MAIORES QUE O SALDO","OK"))))))))))</f>
        <v/>
      </c>
    </row>
    <row r="182">
      <c r="A182" s="21" t="n"/>
      <c r="B182" s="21" t="n"/>
      <c r="C182" s="21" t="n"/>
      <c r="D182" s="22" t="n"/>
      <c r="E182" s="22" t="n"/>
      <c r="F182" s="22" t="n"/>
      <c r="G182" s="23" t="n"/>
      <c r="H182" s="24">
        <f>IF($A182="","",IFERROR(SUMIFS('Conciliação'!$G$6:$G$305,'Conciliação'!$B$6:$B$305,$A182,'Conciliação'!$S$6:$S$305,"OK"),0))</f>
        <v/>
      </c>
      <c r="I182" s="24">
        <f>IF($A182="","",IF(OR(NOT(ISNUMBER($D182)),NOT(ISNUMBER($E182)),AND($F182&lt;&gt;"",NOT(ISNUMBER($F182)))),"",MAX(0,$D182-$E182-$H182-IF($F182="",'Configurações'!$B$2,$F182))))</f>
        <v/>
      </c>
      <c r="J182" s="24">
        <f>IF($A182="","",IFERROR(SUMIFS('Conciliação'!$F$6:$F$305,'Conciliação'!$B$6:$B$305,$A182,'Conciliação'!$S$6:$S$305,"OK"),0))</f>
        <v/>
      </c>
      <c r="K182" s="24">
        <f>IF(OR($I182="",$J182=""),"",MAX(0,$J182-$I182))</f>
        <v/>
      </c>
      <c r="L182" s="25">
        <f>IF($A182="","",IF($C182="Inativo",IF($J182&gt;0,"INATIVO COM PUBLICAÇÃO","INATIVO"),IF($I182="","REVISAR DADOS",IF($K182&gt;0,"EXPOSIÇÃO ACIMA DO DISPONÍVEL",IF($I182=0,"SEM SALDO DISPONÍVEL",IF($G182="","SEM DATA",IF('Configurações'!$B$5-$G182&gt;'Configurações'!$B$4,"ATUALIZAÇÃO VENCIDA","OK")))))))</f>
        <v/>
      </c>
      <c r="M182" s="25">
        <f>IF(COUNTA($A182:$G182)=0,"",IF($A182="","SKU AUSENTE",IF(COUNTIF($A$6:$A$205,$A182)&gt;1,"SKU DUPLICADO",IF($B182="","PRODUTO AUSENTE",IF(AND($C182&lt;&gt;"Ativo",$C182&lt;&gt;"Inativo"),"STATUS INVÁLIDO",IF(IFERROR(OR(NOT(ISNUMBER($D182)),$D182&lt;0,MOD($D182,1)&lt;&gt;0),TRUE),"SALDO FÍSICO INVÁLIDO",IF(IFERROR(OR(NOT(ISNUMBER($E182)),$E182&lt;0,MOD($E182,1)&lt;&gt;0),TRUE),"RESERVAS INVÁLIDAS",IF(AND($F182&lt;&gt;"",IFERROR(OR(NOT(ISNUMBER($F182)),$F182&lt;0,MOD($F182,1)&lt;&gt;0),TRUE)),"ESTOQUE DE SEGURANÇA INVÁLIDO",IF(IFERROR(OR(NOT(ISNUMBER($G182)),$G182&gt;'Configurações'!$B$5),TRUE),"DATA INVÁLIDA",IF($E182&gt;$D182,"RESERVAS MAIORES QUE O SALDO","OK"))))))))))</f>
        <v/>
      </c>
    </row>
    <row r="183">
      <c r="A183" s="21" t="n"/>
      <c r="B183" s="21" t="n"/>
      <c r="C183" s="21" t="n"/>
      <c r="D183" s="22" t="n"/>
      <c r="E183" s="22" t="n"/>
      <c r="F183" s="22" t="n"/>
      <c r="G183" s="23" t="n"/>
      <c r="H183" s="24">
        <f>IF($A183="","",IFERROR(SUMIFS('Conciliação'!$G$6:$G$305,'Conciliação'!$B$6:$B$305,$A183,'Conciliação'!$S$6:$S$305,"OK"),0))</f>
        <v/>
      </c>
      <c r="I183" s="24">
        <f>IF($A183="","",IF(OR(NOT(ISNUMBER($D183)),NOT(ISNUMBER($E183)),AND($F183&lt;&gt;"",NOT(ISNUMBER($F183)))),"",MAX(0,$D183-$E183-$H183-IF($F183="",'Configurações'!$B$2,$F183))))</f>
        <v/>
      </c>
      <c r="J183" s="24">
        <f>IF($A183="","",IFERROR(SUMIFS('Conciliação'!$F$6:$F$305,'Conciliação'!$B$6:$B$305,$A183,'Conciliação'!$S$6:$S$305,"OK"),0))</f>
        <v/>
      </c>
      <c r="K183" s="24">
        <f>IF(OR($I183="",$J183=""),"",MAX(0,$J183-$I183))</f>
        <v/>
      </c>
      <c r="L183" s="25">
        <f>IF($A183="","",IF($C183="Inativo",IF($J183&gt;0,"INATIVO COM PUBLICAÇÃO","INATIVO"),IF($I183="","REVISAR DADOS",IF($K183&gt;0,"EXPOSIÇÃO ACIMA DO DISPONÍVEL",IF($I183=0,"SEM SALDO DISPONÍVEL",IF($G183="","SEM DATA",IF('Configurações'!$B$5-$G183&gt;'Configurações'!$B$4,"ATUALIZAÇÃO VENCIDA","OK")))))))</f>
        <v/>
      </c>
      <c r="M183" s="25">
        <f>IF(COUNTA($A183:$G183)=0,"",IF($A183="","SKU AUSENTE",IF(COUNTIF($A$6:$A$205,$A183)&gt;1,"SKU DUPLICADO",IF($B183="","PRODUTO AUSENTE",IF(AND($C183&lt;&gt;"Ativo",$C183&lt;&gt;"Inativo"),"STATUS INVÁLIDO",IF(IFERROR(OR(NOT(ISNUMBER($D183)),$D183&lt;0,MOD($D183,1)&lt;&gt;0),TRUE),"SALDO FÍSICO INVÁLIDO",IF(IFERROR(OR(NOT(ISNUMBER($E183)),$E183&lt;0,MOD($E183,1)&lt;&gt;0),TRUE),"RESERVAS INVÁLIDAS",IF(AND($F183&lt;&gt;"",IFERROR(OR(NOT(ISNUMBER($F183)),$F183&lt;0,MOD($F183,1)&lt;&gt;0),TRUE)),"ESTOQUE DE SEGURANÇA INVÁLIDO",IF(IFERROR(OR(NOT(ISNUMBER($G183)),$G183&gt;'Configurações'!$B$5),TRUE),"DATA INVÁLIDA",IF($E183&gt;$D183,"RESERVAS MAIORES QUE O SALDO","OK"))))))))))</f>
        <v/>
      </c>
    </row>
    <row r="184">
      <c r="A184" s="21" t="n"/>
      <c r="B184" s="21" t="n"/>
      <c r="C184" s="21" t="n"/>
      <c r="D184" s="22" t="n"/>
      <c r="E184" s="22" t="n"/>
      <c r="F184" s="22" t="n"/>
      <c r="G184" s="23" t="n"/>
      <c r="H184" s="24">
        <f>IF($A184="","",IFERROR(SUMIFS('Conciliação'!$G$6:$G$305,'Conciliação'!$B$6:$B$305,$A184,'Conciliação'!$S$6:$S$305,"OK"),0))</f>
        <v/>
      </c>
      <c r="I184" s="24">
        <f>IF($A184="","",IF(OR(NOT(ISNUMBER($D184)),NOT(ISNUMBER($E184)),AND($F184&lt;&gt;"",NOT(ISNUMBER($F184)))),"",MAX(0,$D184-$E184-$H184-IF($F184="",'Configurações'!$B$2,$F184))))</f>
        <v/>
      </c>
      <c r="J184" s="24">
        <f>IF($A184="","",IFERROR(SUMIFS('Conciliação'!$F$6:$F$305,'Conciliação'!$B$6:$B$305,$A184,'Conciliação'!$S$6:$S$305,"OK"),0))</f>
        <v/>
      </c>
      <c r="K184" s="24">
        <f>IF(OR($I184="",$J184=""),"",MAX(0,$J184-$I184))</f>
        <v/>
      </c>
      <c r="L184" s="25">
        <f>IF($A184="","",IF($C184="Inativo",IF($J184&gt;0,"INATIVO COM PUBLICAÇÃO","INATIVO"),IF($I184="","REVISAR DADOS",IF($K184&gt;0,"EXPOSIÇÃO ACIMA DO DISPONÍVEL",IF($I184=0,"SEM SALDO DISPONÍVEL",IF($G184="","SEM DATA",IF('Configurações'!$B$5-$G184&gt;'Configurações'!$B$4,"ATUALIZAÇÃO VENCIDA","OK")))))))</f>
        <v/>
      </c>
      <c r="M184" s="25">
        <f>IF(COUNTA($A184:$G184)=0,"",IF($A184="","SKU AUSENTE",IF(COUNTIF($A$6:$A$205,$A184)&gt;1,"SKU DUPLICADO",IF($B184="","PRODUTO AUSENTE",IF(AND($C184&lt;&gt;"Ativo",$C184&lt;&gt;"Inativo"),"STATUS INVÁLIDO",IF(IFERROR(OR(NOT(ISNUMBER($D184)),$D184&lt;0,MOD($D184,1)&lt;&gt;0),TRUE),"SALDO FÍSICO INVÁLIDO",IF(IFERROR(OR(NOT(ISNUMBER($E184)),$E184&lt;0,MOD($E184,1)&lt;&gt;0),TRUE),"RESERVAS INVÁLIDAS",IF(AND($F184&lt;&gt;"",IFERROR(OR(NOT(ISNUMBER($F184)),$F184&lt;0,MOD($F184,1)&lt;&gt;0),TRUE)),"ESTOQUE DE SEGURANÇA INVÁLIDO",IF(IFERROR(OR(NOT(ISNUMBER($G184)),$G184&gt;'Configurações'!$B$5),TRUE),"DATA INVÁLIDA",IF($E184&gt;$D184,"RESERVAS MAIORES QUE O SALDO","OK"))))))))))</f>
        <v/>
      </c>
    </row>
    <row r="185">
      <c r="A185" s="21" t="n"/>
      <c r="B185" s="21" t="n"/>
      <c r="C185" s="21" t="n"/>
      <c r="D185" s="22" t="n"/>
      <c r="E185" s="22" t="n"/>
      <c r="F185" s="22" t="n"/>
      <c r="G185" s="23" t="n"/>
      <c r="H185" s="24">
        <f>IF($A185="","",IFERROR(SUMIFS('Conciliação'!$G$6:$G$305,'Conciliação'!$B$6:$B$305,$A185,'Conciliação'!$S$6:$S$305,"OK"),0))</f>
        <v/>
      </c>
      <c r="I185" s="24">
        <f>IF($A185="","",IF(OR(NOT(ISNUMBER($D185)),NOT(ISNUMBER($E185)),AND($F185&lt;&gt;"",NOT(ISNUMBER($F185)))),"",MAX(0,$D185-$E185-$H185-IF($F185="",'Configurações'!$B$2,$F185))))</f>
        <v/>
      </c>
      <c r="J185" s="24">
        <f>IF($A185="","",IFERROR(SUMIFS('Conciliação'!$F$6:$F$305,'Conciliação'!$B$6:$B$305,$A185,'Conciliação'!$S$6:$S$305,"OK"),0))</f>
        <v/>
      </c>
      <c r="K185" s="24">
        <f>IF(OR($I185="",$J185=""),"",MAX(0,$J185-$I185))</f>
        <v/>
      </c>
      <c r="L185" s="25">
        <f>IF($A185="","",IF($C185="Inativo",IF($J185&gt;0,"INATIVO COM PUBLICAÇÃO","INATIVO"),IF($I185="","REVISAR DADOS",IF($K185&gt;0,"EXPOSIÇÃO ACIMA DO DISPONÍVEL",IF($I185=0,"SEM SALDO DISPONÍVEL",IF($G185="","SEM DATA",IF('Configurações'!$B$5-$G185&gt;'Configurações'!$B$4,"ATUALIZAÇÃO VENCIDA","OK")))))))</f>
        <v/>
      </c>
      <c r="M185" s="25">
        <f>IF(COUNTA($A185:$G185)=0,"",IF($A185="","SKU AUSENTE",IF(COUNTIF($A$6:$A$205,$A185)&gt;1,"SKU DUPLICADO",IF($B185="","PRODUTO AUSENTE",IF(AND($C185&lt;&gt;"Ativo",$C185&lt;&gt;"Inativo"),"STATUS INVÁLIDO",IF(IFERROR(OR(NOT(ISNUMBER($D185)),$D185&lt;0,MOD($D185,1)&lt;&gt;0),TRUE),"SALDO FÍSICO INVÁLIDO",IF(IFERROR(OR(NOT(ISNUMBER($E185)),$E185&lt;0,MOD($E185,1)&lt;&gt;0),TRUE),"RESERVAS INVÁLIDAS",IF(AND($F185&lt;&gt;"",IFERROR(OR(NOT(ISNUMBER($F185)),$F185&lt;0,MOD($F185,1)&lt;&gt;0),TRUE)),"ESTOQUE DE SEGURANÇA INVÁLIDO",IF(IFERROR(OR(NOT(ISNUMBER($G185)),$G185&gt;'Configurações'!$B$5),TRUE),"DATA INVÁLIDA",IF($E185&gt;$D185,"RESERVAS MAIORES QUE O SALDO","OK"))))))))))</f>
        <v/>
      </c>
    </row>
    <row r="186">
      <c r="A186" s="21" t="n"/>
      <c r="B186" s="21" t="n"/>
      <c r="C186" s="21" t="n"/>
      <c r="D186" s="22" t="n"/>
      <c r="E186" s="22" t="n"/>
      <c r="F186" s="22" t="n"/>
      <c r="G186" s="23" t="n"/>
      <c r="H186" s="24">
        <f>IF($A186="","",IFERROR(SUMIFS('Conciliação'!$G$6:$G$305,'Conciliação'!$B$6:$B$305,$A186,'Conciliação'!$S$6:$S$305,"OK"),0))</f>
        <v/>
      </c>
      <c r="I186" s="24">
        <f>IF($A186="","",IF(OR(NOT(ISNUMBER($D186)),NOT(ISNUMBER($E186)),AND($F186&lt;&gt;"",NOT(ISNUMBER($F186)))),"",MAX(0,$D186-$E186-$H186-IF($F186="",'Configurações'!$B$2,$F186))))</f>
        <v/>
      </c>
      <c r="J186" s="24">
        <f>IF($A186="","",IFERROR(SUMIFS('Conciliação'!$F$6:$F$305,'Conciliação'!$B$6:$B$305,$A186,'Conciliação'!$S$6:$S$305,"OK"),0))</f>
        <v/>
      </c>
      <c r="K186" s="24">
        <f>IF(OR($I186="",$J186=""),"",MAX(0,$J186-$I186))</f>
        <v/>
      </c>
      <c r="L186" s="25">
        <f>IF($A186="","",IF($C186="Inativo",IF($J186&gt;0,"INATIVO COM PUBLICAÇÃO","INATIVO"),IF($I186="","REVISAR DADOS",IF($K186&gt;0,"EXPOSIÇÃO ACIMA DO DISPONÍVEL",IF($I186=0,"SEM SALDO DISPONÍVEL",IF($G186="","SEM DATA",IF('Configurações'!$B$5-$G186&gt;'Configurações'!$B$4,"ATUALIZAÇÃO VENCIDA","OK")))))))</f>
        <v/>
      </c>
      <c r="M186" s="25">
        <f>IF(COUNTA($A186:$G186)=0,"",IF($A186="","SKU AUSENTE",IF(COUNTIF($A$6:$A$205,$A186)&gt;1,"SKU DUPLICADO",IF($B186="","PRODUTO AUSENTE",IF(AND($C186&lt;&gt;"Ativo",$C186&lt;&gt;"Inativo"),"STATUS INVÁLIDO",IF(IFERROR(OR(NOT(ISNUMBER($D186)),$D186&lt;0,MOD($D186,1)&lt;&gt;0),TRUE),"SALDO FÍSICO INVÁLIDO",IF(IFERROR(OR(NOT(ISNUMBER($E186)),$E186&lt;0,MOD($E186,1)&lt;&gt;0),TRUE),"RESERVAS INVÁLIDAS",IF(AND($F186&lt;&gt;"",IFERROR(OR(NOT(ISNUMBER($F186)),$F186&lt;0,MOD($F186,1)&lt;&gt;0),TRUE)),"ESTOQUE DE SEGURANÇA INVÁLIDO",IF(IFERROR(OR(NOT(ISNUMBER($G186)),$G186&gt;'Configurações'!$B$5),TRUE),"DATA INVÁLIDA",IF($E186&gt;$D186,"RESERVAS MAIORES QUE O SALDO","OK"))))))))))</f>
        <v/>
      </c>
    </row>
    <row r="187">
      <c r="A187" s="21" t="n"/>
      <c r="B187" s="21" t="n"/>
      <c r="C187" s="21" t="n"/>
      <c r="D187" s="22" t="n"/>
      <c r="E187" s="22" t="n"/>
      <c r="F187" s="22" t="n"/>
      <c r="G187" s="23" t="n"/>
      <c r="H187" s="24">
        <f>IF($A187="","",IFERROR(SUMIFS('Conciliação'!$G$6:$G$305,'Conciliação'!$B$6:$B$305,$A187,'Conciliação'!$S$6:$S$305,"OK"),0))</f>
        <v/>
      </c>
      <c r="I187" s="24">
        <f>IF($A187="","",IF(OR(NOT(ISNUMBER($D187)),NOT(ISNUMBER($E187)),AND($F187&lt;&gt;"",NOT(ISNUMBER($F187)))),"",MAX(0,$D187-$E187-$H187-IF($F187="",'Configurações'!$B$2,$F187))))</f>
        <v/>
      </c>
      <c r="J187" s="24">
        <f>IF($A187="","",IFERROR(SUMIFS('Conciliação'!$F$6:$F$305,'Conciliação'!$B$6:$B$305,$A187,'Conciliação'!$S$6:$S$305,"OK"),0))</f>
        <v/>
      </c>
      <c r="K187" s="24">
        <f>IF(OR($I187="",$J187=""),"",MAX(0,$J187-$I187))</f>
        <v/>
      </c>
      <c r="L187" s="25">
        <f>IF($A187="","",IF($C187="Inativo",IF($J187&gt;0,"INATIVO COM PUBLICAÇÃO","INATIVO"),IF($I187="","REVISAR DADOS",IF($K187&gt;0,"EXPOSIÇÃO ACIMA DO DISPONÍVEL",IF($I187=0,"SEM SALDO DISPONÍVEL",IF($G187="","SEM DATA",IF('Configurações'!$B$5-$G187&gt;'Configurações'!$B$4,"ATUALIZAÇÃO VENCIDA","OK")))))))</f>
        <v/>
      </c>
      <c r="M187" s="25">
        <f>IF(COUNTA($A187:$G187)=0,"",IF($A187="","SKU AUSENTE",IF(COUNTIF($A$6:$A$205,$A187)&gt;1,"SKU DUPLICADO",IF($B187="","PRODUTO AUSENTE",IF(AND($C187&lt;&gt;"Ativo",$C187&lt;&gt;"Inativo"),"STATUS INVÁLIDO",IF(IFERROR(OR(NOT(ISNUMBER($D187)),$D187&lt;0,MOD($D187,1)&lt;&gt;0),TRUE),"SALDO FÍSICO INVÁLIDO",IF(IFERROR(OR(NOT(ISNUMBER($E187)),$E187&lt;0,MOD($E187,1)&lt;&gt;0),TRUE),"RESERVAS INVÁLIDAS",IF(AND($F187&lt;&gt;"",IFERROR(OR(NOT(ISNUMBER($F187)),$F187&lt;0,MOD($F187,1)&lt;&gt;0),TRUE)),"ESTOQUE DE SEGURANÇA INVÁLIDO",IF(IFERROR(OR(NOT(ISNUMBER($G187)),$G187&gt;'Configurações'!$B$5),TRUE),"DATA INVÁLIDA",IF($E187&gt;$D187,"RESERVAS MAIORES QUE O SALDO","OK"))))))))))</f>
        <v/>
      </c>
    </row>
    <row r="188">
      <c r="A188" s="21" t="n"/>
      <c r="B188" s="21" t="n"/>
      <c r="C188" s="21" t="n"/>
      <c r="D188" s="22" t="n"/>
      <c r="E188" s="22" t="n"/>
      <c r="F188" s="22" t="n"/>
      <c r="G188" s="23" t="n"/>
      <c r="H188" s="24">
        <f>IF($A188="","",IFERROR(SUMIFS('Conciliação'!$G$6:$G$305,'Conciliação'!$B$6:$B$305,$A188,'Conciliação'!$S$6:$S$305,"OK"),0))</f>
        <v/>
      </c>
      <c r="I188" s="24">
        <f>IF($A188="","",IF(OR(NOT(ISNUMBER($D188)),NOT(ISNUMBER($E188)),AND($F188&lt;&gt;"",NOT(ISNUMBER($F188)))),"",MAX(0,$D188-$E188-$H188-IF($F188="",'Configurações'!$B$2,$F188))))</f>
        <v/>
      </c>
      <c r="J188" s="24">
        <f>IF($A188="","",IFERROR(SUMIFS('Conciliação'!$F$6:$F$305,'Conciliação'!$B$6:$B$305,$A188,'Conciliação'!$S$6:$S$305,"OK"),0))</f>
        <v/>
      </c>
      <c r="K188" s="24">
        <f>IF(OR($I188="",$J188=""),"",MAX(0,$J188-$I188))</f>
        <v/>
      </c>
      <c r="L188" s="25">
        <f>IF($A188="","",IF($C188="Inativo",IF($J188&gt;0,"INATIVO COM PUBLICAÇÃO","INATIVO"),IF($I188="","REVISAR DADOS",IF($K188&gt;0,"EXPOSIÇÃO ACIMA DO DISPONÍVEL",IF($I188=0,"SEM SALDO DISPONÍVEL",IF($G188="","SEM DATA",IF('Configurações'!$B$5-$G188&gt;'Configurações'!$B$4,"ATUALIZAÇÃO VENCIDA","OK")))))))</f>
        <v/>
      </c>
      <c r="M188" s="25">
        <f>IF(COUNTA($A188:$G188)=0,"",IF($A188="","SKU AUSENTE",IF(COUNTIF($A$6:$A$205,$A188)&gt;1,"SKU DUPLICADO",IF($B188="","PRODUTO AUSENTE",IF(AND($C188&lt;&gt;"Ativo",$C188&lt;&gt;"Inativo"),"STATUS INVÁLIDO",IF(IFERROR(OR(NOT(ISNUMBER($D188)),$D188&lt;0,MOD($D188,1)&lt;&gt;0),TRUE),"SALDO FÍSICO INVÁLIDO",IF(IFERROR(OR(NOT(ISNUMBER($E188)),$E188&lt;0,MOD($E188,1)&lt;&gt;0),TRUE),"RESERVAS INVÁLIDAS",IF(AND($F188&lt;&gt;"",IFERROR(OR(NOT(ISNUMBER($F188)),$F188&lt;0,MOD($F188,1)&lt;&gt;0),TRUE)),"ESTOQUE DE SEGURANÇA INVÁLIDO",IF(IFERROR(OR(NOT(ISNUMBER($G188)),$G188&gt;'Configurações'!$B$5),TRUE),"DATA INVÁLIDA",IF($E188&gt;$D188,"RESERVAS MAIORES QUE O SALDO","OK"))))))))))</f>
        <v/>
      </c>
    </row>
    <row r="189">
      <c r="A189" s="21" t="n"/>
      <c r="B189" s="21" t="n"/>
      <c r="C189" s="21" t="n"/>
      <c r="D189" s="22" t="n"/>
      <c r="E189" s="22" t="n"/>
      <c r="F189" s="22" t="n"/>
      <c r="G189" s="23" t="n"/>
      <c r="H189" s="24">
        <f>IF($A189="","",IFERROR(SUMIFS('Conciliação'!$G$6:$G$305,'Conciliação'!$B$6:$B$305,$A189,'Conciliação'!$S$6:$S$305,"OK"),0))</f>
        <v/>
      </c>
      <c r="I189" s="24">
        <f>IF($A189="","",IF(OR(NOT(ISNUMBER($D189)),NOT(ISNUMBER($E189)),AND($F189&lt;&gt;"",NOT(ISNUMBER($F189)))),"",MAX(0,$D189-$E189-$H189-IF($F189="",'Configurações'!$B$2,$F189))))</f>
        <v/>
      </c>
      <c r="J189" s="24">
        <f>IF($A189="","",IFERROR(SUMIFS('Conciliação'!$F$6:$F$305,'Conciliação'!$B$6:$B$305,$A189,'Conciliação'!$S$6:$S$305,"OK"),0))</f>
        <v/>
      </c>
      <c r="K189" s="24">
        <f>IF(OR($I189="",$J189=""),"",MAX(0,$J189-$I189))</f>
        <v/>
      </c>
      <c r="L189" s="25">
        <f>IF($A189="","",IF($C189="Inativo",IF($J189&gt;0,"INATIVO COM PUBLICAÇÃO","INATIVO"),IF($I189="","REVISAR DADOS",IF($K189&gt;0,"EXPOSIÇÃO ACIMA DO DISPONÍVEL",IF($I189=0,"SEM SALDO DISPONÍVEL",IF($G189="","SEM DATA",IF('Configurações'!$B$5-$G189&gt;'Configurações'!$B$4,"ATUALIZAÇÃO VENCIDA","OK")))))))</f>
        <v/>
      </c>
      <c r="M189" s="25">
        <f>IF(COUNTA($A189:$G189)=0,"",IF($A189="","SKU AUSENTE",IF(COUNTIF($A$6:$A$205,$A189)&gt;1,"SKU DUPLICADO",IF($B189="","PRODUTO AUSENTE",IF(AND($C189&lt;&gt;"Ativo",$C189&lt;&gt;"Inativo"),"STATUS INVÁLIDO",IF(IFERROR(OR(NOT(ISNUMBER($D189)),$D189&lt;0,MOD($D189,1)&lt;&gt;0),TRUE),"SALDO FÍSICO INVÁLIDO",IF(IFERROR(OR(NOT(ISNUMBER($E189)),$E189&lt;0,MOD($E189,1)&lt;&gt;0),TRUE),"RESERVAS INVÁLIDAS",IF(AND($F189&lt;&gt;"",IFERROR(OR(NOT(ISNUMBER($F189)),$F189&lt;0,MOD($F189,1)&lt;&gt;0),TRUE)),"ESTOQUE DE SEGURANÇA INVÁLIDO",IF(IFERROR(OR(NOT(ISNUMBER($G189)),$G189&gt;'Configurações'!$B$5),TRUE),"DATA INVÁLIDA",IF($E189&gt;$D189,"RESERVAS MAIORES QUE O SALDO","OK"))))))))))</f>
        <v/>
      </c>
    </row>
    <row r="190">
      <c r="A190" s="21" t="n"/>
      <c r="B190" s="21" t="n"/>
      <c r="C190" s="21" t="n"/>
      <c r="D190" s="22" t="n"/>
      <c r="E190" s="22" t="n"/>
      <c r="F190" s="22" t="n"/>
      <c r="G190" s="23" t="n"/>
      <c r="H190" s="24">
        <f>IF($A190="","",IFERROR(SUMIFS('Conciliação'!$G$6:$G$305,'Conciliação'!$B$6:$B$305,$A190,'Conciliação'!$S$6:$S$305,"OK"),0))</f>
        <v/>
      </c>
      <c r="I190" s="24">
        <f>IF($A190="","",IF(OR(NOT(ISNUMBER($D190)),NOT(ISNUMBER($E190)),AND($F190&lt;&gt;"",NOT(ISNUMBER($F190)))),"",MAX(0,$D190-$E190-$H190-IF($F190="",'Configurações'!$B$2,$F190))))</f>
        <v/>
      </c>
      <c r="J190" s="24">
        <f>IF($A190="","",IFERROR(SUMIFS('Conciliação'!$F$6:$F$305,'Conciliação'!$B$6:$B$305,$A190,'Conciliação'!$S$6:$S$305,"OK"),0))</f>
        <v/>
      </c>
      <c r="K190" s="24">
        <f>IF(OR($I190="",$J190=""),"",MAX(0,$J190-$I190))</f>
        <v/>
      </c>
      <c r="L190" s="25">
        <f>IF($A190="","",IF($C190="Inativo",IF($J190&gt;0,"INATIVO COM PUBLICAÇÃO","INATIVO"),IF($I190="","REVISAR DADOS",IF($K190&gt;0,"EXPOSIÇÃO ACIMA DO DISPONÍVEL",IF($I190=0,"SEM SALDO DISPONÍVEL",IF($G190="","SEM DATA",IF('Configurações'!$B$5-$G190&gt;'Configurações'!$B$4,"ATUALIZAÇÃO VENCIDA","OK")))))))</f>
        <v/>
      </c>
      <c r="M190" s="25">
        <f>IF(COUNTA($A190:$G190)=0,"",IF($A190="","SKU AUSENTE",IF(COUNTIF($A$6:$A$205,$A190)&gt;1,"SKU DUPLICADO",IF($B190="","PRODUTO AUSENTE",IF(AND($C190&lt;&gt;"Ativo",$C190&lt;&gt;"Inativo"),"STATUS INVÁLIDO",IF(IFERROR(OR(NOT(ISNUMBER($D190)),$D190&lt;0,MOD($D190,1)&lt;&gt;0),TRUE),"SALDO FÍSICO INVÁLIDO",IF(IFERROR(OR(NOT(ISNUMBER($E190)),$E190&lt;0,MOD($E190,1)&lt;&gt;0),TRUE),"RESERVAS INVÁLIDAS",IF(AND($F190&lt;&gt;"",IFERROR(OR(NOT(ISNUMBER($F190)),$F190&lt;0,MOD($F190,1)&lt;&gt;0),TRUE)),"ESTOQUE DE SEGURANÇA INVÁLIDO",IF(IFERROR(OR(NOT(ISNUMBER($G190)),$G190&gt;'Configurações'!$B$5),TRUE),"DATA INVÁLIDA",IF($E190&gt;$D190,"RESERVAS MAIORES QUE O SALDO","OK"))))))))))</f>
        <v/>
      </c>
    </row>
    <row r="191">
      <c r="A191" s="21" t="n"/>
      <c r="B191" s="21" t="n"/>
      <c r="C191" s="21" t="n"/>
      <c r="D191" s="22" t="n"/>
      <c r="E191" s="22" t="n"/>
      <c r="F191" s="22" t="n"/>
      <c r="G191" s="23" t="n"/>
      <c r="H191" s="24">
        <f>IF($A191="","",IFERROR(SUMIFS('Conciliação'!$G$6:$G$305,'Conciliação'!$B$6:$B$305,$A191,'Conciliação'!$S$6:$S$305,"OK"),0))</f>
        <v/>
      </c>
      <c r="I191" s="24">
        <f>IF($A191="","",IF(OR(NOT(ISNUMBER($D191)),NOT(ISNUMBER($E191)),AND($F191&lt;&gt;"",NOT(ISNUMBER($F191)))),"",MAX(0,$D191-$E191-$H191-IF($F191="",'Configurações'!$B$2,$F191))))</f>
        <v/>
      </c>
      <c r="J191" s="24">
        <f>IF($A191="","",IFERROR(SUMIFS('Conciliação'!$F$6:$F$305,'Conciliação'!$B$6:$B$305,$A191,'Conciliação'!$S$6:$S$305,"OK"),0))</f>
        <v/>
      </c>
      <c r="K191" s="24">
        <f>IF(OR($I191="",$J191=""),"",MAX(0,$J191-$I191))</f>
        <v/>
      </c>
      <c r="L191" s="25">
        <f>IF($A191="","",IF($C191="Inativo",IF($J191&gt;0,"INATIVO COM PUBLICAÇÃO","INATIVO"),IF($I191="","REVISAR DADOS",IF($K191&gt;0,"EXPOSIÇÃO ACIMA DO DISPONÍVEL",IF($I191=0,"SEM SALDO DISPONÍVEL",IF($G191="","SEM DATA",IF('Configurações'!$B$5-$G191&gt;'Configurações'!$B$4,"ATUALIZAÇÃO VENCIDA","OK")))))))</f>
        <v/>
      </c>
      <c r="M191" s="25">
        <f>IF(COUNTA($A191:$G191)=0,"",IF($A191="","SKU AUSENTE",IF(COUNTIF($A$6:$A$205,$A191)&gt;1,"SKU DUPLICADO",IF($B191="","PRODUTO AUSENTE",IF(AND($C191&lt;&gt;"Ativo",$C191&lt;&gt;"Inativo"),"STATUS INVÁLIDO",IF(IFERROR(OR(NOT(ISNUMBER($D191)),$D191&lt;0,MOD($D191,1)&lt;&gt;0),TRUE),"SALDO FÍSICO INVÁLIDO",IF(IFERROR(OR(NOT(ISNUMBER($E191)),$E191&lt;0,MOD($E191,1)&lt;&gt;0),TRUE),"RESERVAS INVÁLIDAS",IF(AND($F191&lt;&gt;"",IFERROR(OR(NOT(ISNUMBER($F191)),$F191&lt;0,MOD($F191,1)&lt;&gt;0),TRUE)),"ESTOQUE DE SEGURANÇA INVÁLIDO",IF(IFERROR(OR(NOT(ISNUMBER($G191)),$G191&gt;'Configurações'!$B$5),TRUE),"DATA INVÁLIDA",IF($E191&gt;$D191,"RESERVAS MAIORES QUE O SALDO","OK"))))))))))</f>
        <v/>
      </c>
    </row>
    <row r="192">
      <c r="A192" s="21" t="n"/>
      <c r="B192" s="21" t="n"/>
      <c r="C192" s="21" t="n"/>
      <c r="D192" s="22" t="n"/>
      <c r="E192" s="22" t="n"/>
      <c r="F192" s="22" t="n"/>
      <c r="G192" s="23" t="n"/>
      <c r="H192" s="24">
        <f>IF($A192="","",IFERROR(SUMIFS('Conciliação'!$G$6:$G$305,'Conciliação'!$B$6:$B$305,$A192,'Conciliação'!$S$6:$S$305,"OK"),0))</f>
        <v/>
      </c>
      <c r="I192" s="24">
        <f>IF($A192="","",IF(OR(NOT(ISNUMBER($D192)),NOT(ISNUMBER($E192)),AND($F192&lt;&gt;"",NOT(ISNUMBER($F192)))),"",MAX(0,$D192-$E192-$H192-IF($F192="",'Configurações'!$B$2,$F192))))</f>
        <v/>
      </c>
      <c r="J192" s="24">
        <f>IF($A192="","",IFERROR(SUMIFS('Conciliação'!$F$6:$F$305,'Conciliação'!$B$6:$B$305,$A192,'Conciliação'!$S$6:$S$305,"OK"),0))</f>
        <v/>
      </c>
      <c r="K192" s="24">
        <f>IF(OR($I192="",$J192=""),"",MAX(0,$J192-$I192))</f>
        <v/>
      </c>
      <c r="L192" s="25">
        <f>IF($A192="","",IF($C192="Inativo",IF($J192&gt;0,"INATIVO COM PUBLICAÇÃO","INATIVO"),IF($I192="","REVISAR DADOS",IF($K192&gt;0,"EXPOSIÇÃO ACIMA DO DISPONÍVEL",IF($I192=0,"SEM SALDO DISPONÍVEL",IF($G192="","SEM DATA",IF('Configurações'!$B$5-$G192&gt;'Configurações'!$B$4,"ATUALIZAÇÃO VENCIDA","OK")))))))</f>
        <v/>
      </c>
      <c r="M192" s="25">
        <f>IF(COUNTA($A192:$G192)=0,"",IF($A192="","SKU AUSENTE",IF(COUNTIF($A$6:$A$205,$A192)&gt;1,"SKU DUPLICADO",IF($B192="","PRODUTO AUSENTE",IF(AND($C192&lt;&gt;"Ativo",$C192&lt;&gt;"Inativo"),"STATUS INVÁLIDO",IF(IFERROR(OR(NOT(ISNUMBER($D192)),$D192&lt;0,MOD($D192,1)&lt;&gt;0),TRUE),"SALDO FÍSICO INVÁLIDO",IF(IFERROR(OR(NOT(ISNUMBER($E192)),$E192&lt;0,MOD($E192,1)&lt;&gt;0),TRUE),"RESERVAS INVÁLIDAS",IF(AND($F192&lt;&gt;"",IFERROR(OR(NOT(ISNUMBER($F192)),$F192&lt;0,MOD($F192,1)&lt;&gt;0),TRUE)),"ESTOQUE DE SEGURANÇA INVÁLIDO",IF(IFERROR(OR(NOT(ISNUMBER($G192)),$G192&gt;'Configurações'!$B$5),TRUE),"DATA INVÁLIDA",IF($E192&gt;$D192,"RESERVAS MAIORES QUE O SALDO","OK"))))))))))</f>
        <v/>
      </c>
    </row>
    <row r="193">
      <c r="A193" s="21" t="n"/>
      <c r="B193" s="21" t="n"/>
      <c r="C193" s="21" t="n"/>
      <c r="D193" s="22" t="n"/>
      <c r="E193" s="22" t="n"/>
      <c r="F193" s="22" t="n"/>
      <c r="G193" s="23" t="n"/>
      <c r="H193" s="24">
        <f>IF($A193="","",IFERROR(SUMIFS('Conciliação'!$G$6:$G$305,'Conciliação'!$B$6:$B$305,$A193,'Conciliação'!$S$6:$S$305,"OK"),0))</f>
        <v/>
      </c>
      <c r="I193" s="24">
        <f>IF($A193="","",IF(OR(NOT(ISNUMBER($D193)),NOT(ISNUMBER($E193)),AND($F193&lt;&gt;"",NOT(ISNUMBER($F193)))),"",MAX(0,$D193-$E193-$H193-IF($F193="",'Configurações'!$B$2,$F193))))</f>
        <v/>
      </c>
      <c r="J193" s="24">
        <f>IF($A193="","",IFERROR(SUMIFS('Conciliação'!$F$6:$F$305,'Conciliação'!$B$6:$B$305,$A193,'Conciliação'!$S$6:$S$305,"OK"),0))</f>
        <v/>
      </c>
      <c r="K193" s="24">
        <f>IF(OR($I193="",$J193=""),"",MAX(0,$J193-$I193))</f>
        <v/>
      </c>
      <c r="L193" s="25">
        <f>IF($A193="","",IF($C193="Inativo",IF($J193&gt;0,"INATIVO COM PUBLICAÇÃO","INATIVO"),IF($I193="","REVISAR DADOS",IF($K193&gt;0,"EXPOSIÇÃO ACIMA DO DISPONÍVEL",IF($I193=0,"SEM SALDO DISPONÍVEL",IF($G193="","SEM DATA",IF('Configurações'!$B$5-$G193&gt;'Configurações'!$B$4,"ATUALIZAÇÃO VENCIDA","OK")))))))</f>
        <v/>
      </c>
      <c r="M193" s="25">
        <f>IF(COUNTA($A193:$G193)=0,"",IF($A193="","SKU AUSENTE",IF(COUNTIF($A$6:$A$205,$A193)&gt;1,"SKU DUPLICADO",IF($B193="","PRODUTO AUSENTE",IF(AND($C193&lt;&gt;"Ativo",$C193&lt;&gt;"Inativo"),"STATUS INVÁLIDO",IF(IFERROR(OR(NOT(ISNUMBER($D193)),$D193&lt;0,MOD($D193,1)&lt;&gt;0),TRUE),"SALDO FÍSICO INVÁLIDO",IF(IFERROR(OR(NOT(ISNUMBER($E193)),$E193&lt;0,MOD($E193,1)&lt;&gt;0),TRUE),"RESERVAS INVÁLIDAS",IF(AND($F193&lt;&gt;"",IFERROR(OR(NOT(ISNUMBER($F193)),$F193&lt;0,MOD($F193,1)&lt;&gt;0),TRUE)),"ESTOQUE DE SEGURANÇA INVÁLIDO",IF(IFERROR(OR(NOT(ISNUMBER($G193)),$G193&gt;'Configurações'!$B$5),TRUE),"DATA INVÁLIDA",IF($E193&gt;$D193,"RESERVAS MAIORES QUE O SALDO","OK"))))))))))</f>
        <v/>
      </c>
    </row>
    <row r="194">
      <c r="A194" s="21" t="n"/>
      <c r="B194" s="21" t="n"/>
      <c r="C194" s="21" t="n"/>
      <c r="D194" s="22" t="n"/>
      <c r="E194" s="22" t="n"/>
      <c r="F194" s="22" t="n"/>
      <c r="G194" s="23" t="n"/>
      <c r="H194" s="24">
        <f>IF($A194="","",IFERROR(SUMIFS('Conciliação'!$G$6:$G$305,'Conciliação'!$B$6:$B$305,$A194,'Conciliação'!$S$6:$S$305,"OK"),0))</f>
        <v/>
      </c>
      <c r="I194" s="24">
        <f>IF($A194="","",IF(OR(NOT(ISNUMBER($D194)),NOT(ISNUMBER($E194)),AND($F194&lt;&gt;"",NOT(ISNUMBER($F194)))),"",MAX(0,$D194-$E194-$H194-IF($F194="",'Configurações'!$B$2,$F194))))</f>
        <v/>
      </c>
      <c r="J194" s="24">
        <f>IF($A194="","",IFERROR(SUMIFS('Conciliação'!$F$6:$F$305,'Conciliação'!$B$6:$B$305,$A194,'Conciliação'!$S$6:$S$305,"OK"),0))</f>
        <v/>
      </c>
      <c r="K194" s="24">
        <f>IF(OR($I194="",$J194=""),"",MAX(0,$J194-$I194))</f>
        <v/>
      </c>
      <c r="L194" s="25">
        <f>IF($A194="","",IF($C194="Inativo",IF($J194&gt;0,"INATIVO COM PUBLICAÇÃO","INATIVO"),IF($I194="","REVISAR DADOS",IF($K194&gt;0,"EXPOSIÇÃO ACIMA DO DISPONÍVEL",IF($I194=0,"SEM SALDO DISPONÍVEL",IF($G194="","SEM DATA",IF('Configurações'!$B$5-$G194&gt;'Configurações'!$B$4,"ATUALIZAÇÃO VENCIDA","OK")))))))</f>
        <v/>
      </c>
      <c r="M194" s="25">
        <f>IF(COUNTA($A194:$G194)=0,"",IF($A194="","SKU AUSENTE",IF(COUNTIF($A$6:$A$205,$A194)&gt;1,"SKU DUPLICADO",IF($B194="","PRODUTO AUSENTE",IF(AND($C194&lt;&gt;"Ativo",$C194&lt;&gt;"Inativo"),"STATUS INVÁLIDO",IF(IFERROR(OR(NOT(ISNUMBER($D194)),$D194&lt;0,MOD($D194,1)&lt;&gt;0),TRUE),"SALDO FÍSICO INVÁLIDO",IF(IFERROR(OR(NOT(ISNUMBER($E194)),$E194&lt;0,MOD($E194,1)&lt;&gt;0),TRUE),"RESERVAS INVÁLIDAS",IF(AND($F194&lt;&gt;"",IFERROR(OR(NOT(ISNUMBER($F194)),$F194&lt;0,MOD($F194,1)&lt;&gt;0),TRUE)),"ESTOQUE DE SEGURANÇA INVÁLIDO",IF(IFERROR(OR(NOT(ISNUMBER($G194)),$G194&gt;'Configurações'!$B$5),TRUE),"DATA INVÁLIDA",IF($E194&gt;$D194,"RESERVAS MAIORES QUE O SALDO","OK"))))))))))</f>
        <v/>
      </c>
    </row>
    <row r="195">
      <c r="A195" s="21" t="n"/>
      <c r="B195" s="21" t="n"/>
      <c r="C195" s="21" t="n"/>
      <c r="D195" s="22" t="n"/>
      <c r="E195" s="22" t="n"/>
      <c r="F195" s="22" t="n"/>
      <c r="G195" s="23" t="n"/>
      <c r="H195" s="24">
        <f>IF($A195="","",IFERROR(SUMIFS('Conciliação'!$G$6:$G$305,'Conciliação'!$B$6:$B$305,$A195,'Conciliação'!$S$6:$S$305,"OK"),0))</f>
        <v/>
      </c>
      <c r="I195" s="24">
        <f>IF($A195="","",IF(OR(NOT(ISNUMBER($D195)),NOT(ISNUMBER($E195)),AND($F195&lt;&gt;"",NOT(ISNUMBER($F195)))),"",MAX(0,$D195-$E195-$H195-IF($F195="",'Configurações'!$B$2,$F195))))</f>
        <v/>
      </c>
      <c r="J195" s="24">
        <f>IF($A195="","",IFERROR(SUMIFS('Conciliação'!$F$6:$F$305,'Conciliação'!$B$6:$B$305,$A195,'Conciliação'!$S$6:$S$305,"OK"),0))</f>
        <v/>
      </c>
      <c r="K195" s="24">
        <f>IF(OR($I195="",$J195=""),"",MAX(0,$J195-$I195))</f>
        <v/>
      </c>
      <c r="L195" s="25">
        <f>IF($A195="","",IF($C195="Inativo",IF($J195&gt;0,"INATIVO COM PUBLICAÇÃO","INATIVO"),IF($I195="","REVISAR DADOS",IF($K195&gt;0,"EXPOSIÇÃO ACIMA DO DISPONÍVEL",IF($I195=0,"SEM SALDO DISPONÍVEL",IF($G195="","SEM DATA",IF('Configurações'!$B$5-$G195&gt;'Configurações'!$B$4,"ATUALIZAÇÃO VENCIDA","OK")))))))</f>
        <v/>
      </c>
      <c r="M195" s="25">
        <f>IF(COUNTA($A195:$G195)=0,"",IF($A195="","SKU AUSENTE",IF(COUNTIF($A$6:$A$205,$A195)&gt;1,"SKU DUPLICADO",IF($B195="","PRODUTO AUSENTE",IF(AND($C195&lt;&gt;"Ativo",$C195&lt;&gt;"Inativo"),"STATUS INVÁLIDO",IF(IFERROR(OR(NOT(ISNUMBER($D195)),$D195&lt;0,MOD($D195,1)&lt;&gt;0),TRUE),"SALDO FÍSICO INVÁLIDO",IF(IFERROR(OR(NOT(ISNUMBER($E195)),$E195&lt;0,MOD($E195,1)&lt;&gt;0),TRUE),"RESERVAS INVÁLIDAS",IF(AND($F195&lt;&gt;"",IFERROR(OR(NOT(ISNUMBER($F195)),$F195&lt;0,MOD($F195,1)&lt;&gt;0),TRUE)),"ESTOQUE DE SEGURANÇA INVÁLIDO",IF(IFERROR(OR(NOT(ISNUMBER($G195)),$G195&gt;'Configurações'!$B$5),TRUE),"DATA INVÁLIDA",IF($E195&gt;$D195,"RESERVAS MAIORES QUE O SALDO","OK"))))))))))</f>
        <v/>
      </c>
    </row>
    <row r="196">
      <c r="A196" s="21" t="n"/>
      <c r="B196" s="21" t="n"/>
      <c r="C196" s="21" t="n"/>
      <c r="D196" s="22" t="n"/>
      <c r="E196" s="22" t="n"/>
      <c r="F196" s="22" t="n"/>
      <c r="G196" s="23" t="n"/>
      <c r="H196" s="24">
        <f>IF($A196="","",IFERROR(SUMIFS('Conciliação'!$G$6:$G$305,'Conciliação'!$B$6:$B$305,$A196,'Conciliação'!$S$6:$S$305,"OK"),0))</f>
        <v/>
      </c>
      <c r="I196" s="24">
        <f>IF($A196="","",IF(OR(NOT(ISNUMBER($D196)),NOT(ISNUMBER($E196)),AND($F196&lt;&gt;"",NOT(ISNUMBER($F196)))),"",MAX(0,$D196-$E196-$H196-IF($F196="",'Configurações'!$B$2,$F196))))</f>
        <v/>
      </c>
      <c r="J196" s="24">
        <f>IF($A196="","",IFERROR(SUMIFS('Conciliação'!$F$6:$F$305,'Conciliação'!$B$6:$B$305,$A196,'Conciliação'!$S$6:$S$305,"OK"),0))</f>
        <v/>
      </c>
      <c r="K196" s="24">
        <f>IF(OR($I196="",$J196=""),"",MAX(0,$J196-$I196))</f>
        <v/>
      </c>
      <c r="L196" s="25">
        <f>IF($A196="","",IF($C196="Inativo",IF($J196&gt;0,"INATIVO COM PUBLICAÇÃO","INATIVO"),IF($I196="","REVISAR DADOS",IF($K196&gt;0,"EXPOSIÇÃO ACIMA DO DISPONÍVEL",IF($I196=0,"SEM SALDO DISPONÍVEL",IF($G196="","SEM DATA",IF('Configurações'!$B$5-$G196&gt;'Configurações'!$B$4,"ATUALIZAÇÃO VENCIDA","OK")))))))</f>
        <v/>
      </c>
      <c r="M196" s="25">
        <f>IF(COUNTA($A196:$G196)=0,"",IF($A196="","SKU AUSENTE",IF(COUNTIF($A$6:$A$205,$A196)&gt;1,"SKU DUPLICADO",IF($B196="","PRODUTO AUSENTE",IF(AND($C196&lt;&gt;"Ativo",$C196&lt;&gt;"Inativo"),"STATUS INVÁLIDO",IF(IFERROR(OR(NOT(ISNUMBER($D196)),$D196&lt;0,MOD($D196,1)&lt;&gt;0),TRUE),"SALDO FÍSICO INVÁLIDO",IF(IFERROR(OR(NOT(ISNUMBER($E196)),$E196&lt;0,MOD($E196,1)&lt;&gt;0),TRUE),"RESERVAS INVÁLIDAS",IF(AND($F196&lt;&gt;"",IFERROR(OR(NOT(ISNUMBER($F196)),$F196&lt;0,MOD($F196,1)&lt;&gt;0),TRUE)),"ESTOQUE DE SEGURANÇA INVÁLIDO",IF(IFERROR(OR(NOT(ISNUMBER($G196)),$G196&gt;'Configurações'!$B$5),TRUE),"DATA INVÁLIDA",IF($E196&gt;$D196,"RESERVAS MAIORES QUE O SALDO","OK"))))))))))</f>
        <v/>
      </c>
    </row>
    <row r="197">
      <c r="A197" s="21" t="n"/>
      <c r="B197" s="21" t="n"/>
      <c r="C197" s="21" t="n"/>
      <c r="D197" s="22" t="n"/>
      <c r="E197" s="22" t="n"/>
      <c r="F197" s="22" t="n"/>
      <c r="G197" s="23" t="n"/>
      <c r="H197" s="24">
        <f>IF($A197="","",IFERROR(SUMIFS('Conciliação'!$G$6:$G$305,'Conciliação'!$B$6:$B$305,$A197,'Conciliação'!$S$6:$S$305,"OK"),0))</f>
        <v/>
      </c>
      <c r="I197" s="24">
        <f>IF($A197="","",IF(OR(NOT(ISNUMBER($D197)),NOT(ISNUMBER($E197)),AND($F197&lt;&gt;"",NOT(ISNUMBER($F197)))),"",MAX(0,$D197-$E197-$H197-IF($F197="",'Configurações'!$B$2,$F197))))</f>
        <v/>
      </c>
      <c r="J197" s="24">
        <f>IF($A197="","",IFERROR(SUMIFS('Conciliação'!$F$6:$F$305,'Conciliação'!$B$6:$B$305,$A197,'Conciliação'!$S$6:$S$305,"OK"),0))</f>
        <v/>
      </c>
      <c r="K197" s="24">
        <f>IF(OR($I197="",$J197=""),"",MAX(0,$J197-$I197))</f>
        <v/>
      </c>
      <c r="L197" s="25">
        <f>IF($A197="","",IF($C197="Inativo",IF($J197&gt;0,"INATIVO COM PUBLICAÇÃO","INATIVO"),IF($I197="","REVISAR DADOS",IF($K197&gt;0,"EXPOSIÇÃO ACIMA DO DISPONÍVEL",IF($I197=0,"SEM SALDO DISPONÍVEL",IF($G197="","SEM DATA",IF('Configurações'!$B$5-$G197&gt;'Configurações'!$B$4,"ATUALIZAÇÃO VENCIDA","OK")))))))</f>
        <v/>
      </c>
      <c r="M197" s="25">
        <f>IF(COUNTA($A197:$G197)=0,"",IF($A197="","SKU AUSENTE",IF(COUNTIF($A$6:$A$205,$A197)&gt;1,"SKU DUPLICADO",IF($B197="","PRODUTO AUSENTE",IF(AND($C197&lt;&gt;"Ativo",$C197&lt;&gt;"Inativo"),"STATUS INVÁLIDO",IF(IFERROR(OR(NOT(ISNUMBER($D197)),$D197&lt;0,MOD($D197,1)&lt;&gt;0),TRUE),"SALDO FÍSICO INVÁLIDO",IF(IFERROR(OR(NOT(ISNUMBER($E197)),$E197&lt;0,MOD($E197,1)&lt;&gt;0),TRUE),"RESERVAS INVÁLIDAS",IF(AND($F197&lt;&gt;"",IFERROR(OR(NOT(ISNUMBER($F197)),$F197&lt;0,MOD($F197,1)&lt;&gt;0),TRUE)),"ESTOQUE DE SEGURANÇA INVÁLIDO",IF(IFERROR(OR(NOT(ISNUMBER($G197)),$G197&gt;'Configurações'!$B$5),TRUE),"DATA INVÁLIDA",IF($E197&gt;$D197,"RESERVAS MAIORES QUE O SALDO","OK"))))))))))</f>
        <v/>
      </c>
    </row>
    <row r="198">
      <c r="A198" s="21" t="n"/>
      <c r="B198" s="21" t="n"/>
      <c r="C198" s="21" t="n"/>
      <c r="D198" s="22" t="n"/>
      <c r="E198" s="22" t="n"/>
      <c r="F198" s="22" t="n"/>
      <c r="G198" s="23" t="n"/>
      <c r="H198" s="24">
        <f>IF($A198="","",IFERROR(SUMIFS('Conciliação'!$G$6:$G$305,'Conciliação'!$B$6:$B$305,$A198,'Conciliação'!$S$6:$S$305,"OK"),0))</f>
        <v/>
      </c>
      <c r="I198" s="24">
        <f>IF($A198="","",IF(OR(NOT(ISNUMBER($D198)),NOT(ISNUMBER($E198)),AND($F198&lt;&gt;"",NOT(ISNUMBER($F198)))),"",MAX(0,$D198-$E198-$H198-IF($F198="",'Configurações'!$B$2,$F198))))</f>
        <v/>
      </c>
      <c r="J198" s="24">
        <f>IF($A198="","",IFERROR(SUMIFS('Conciliação'!$F$6:$F$305,'Conciliação'!$B$6:$B$305,$A198,'Conciliação'!$S$6:$S$305,"OK"),0))</f>
        <v/>
      </c>
      <c r="K198" s="24">
        <f>IF(OR($I198="",$J198=""),"",MAX(0,$J198-$I198))</f>
        <v/>
      </c>
      <c r="L198" s="25">
        <f>IF($A198="","",IF($C198="Inativo",IF($J198&gt;0,"INATIVO COM PUBLICAÇÃO","INATIVO"),IF($I198="","REVISAR DADOS",IF($K198&gt;0,"EXPOSIÇÃO ACIMA DO DISPONÍVEL",IF($I198=0,"SEM SALDO DISPONÍVEL",IF($G198="","SEM DATA",IF('Configurações'!$B$5-$G198&gt;'Configurações'!$B$4,"ATUALIZAÇÃO VENCIDA","OK")))))))</f>
        <v/>
      </c>
      <c r="M198" s="25">
        <f>IF(COUNTA($A198:$G198)=0,"",IF($A198="","SKU AUSENTE",IF(COUNTIF($A$6:$A$205,$A198)&gt;1,"SKU DUPLICADO",IF($B198="","PRODUTO AUSENTE",IF(AND($C198&lt;&gt;"Ativo",$C198&lt;&gt;"Inativo"),"STATUS INVÁLIDO",IF(IFERROR(OR(NOT(ISNUMBER($D198)),$D198&lt;0,MOD($D198,1)&lt;&gt;0),TRUE),"SALDO FÍSICO INVÁLIDO",IF(IFERROR(OR(NOT(ISNUMBER($E198)),$E198&lt;0,MOD($E198,1)&lt;&gt;0),TRUE),"RESERVAS INVÁLIDAS",IF(AND($F198&lt;&gt;"",IFERROR(OR(NOT(ISNUMBER($F198)),$F198&lt;0,MOD($F198,1)&lt;&gt;0),TRUE)),"ESTOQUE DE SEGURANÇA INVÁLIDO",IF(IFERROR(OR(NOT(ISNUMBER($G198)),$G198&gt;'Configurações'!$B$5),TRUE),"DATA INVÁLIDA",IF($E198&gt;$D198,"RESERVAS MAIORES QUE O SALDO","OK"))))))))))</f>
        <v/>
      </c>
    </row>
    <row r="199">
      <c r="A199" s="21" t="n"/>
      <c r="B199" s="21" t="n"/>
      <c r="C199" s="21" t="n"/>
      <c r="D199" s="22" t="n"/>
      <c r="E199" s="22" t="n"/>
      <c r="F199" s="22" t="n"/>
      <c r="G199" s="23" t="n"/>
      <c r="H199" s="24">
        <f>IF($A199="","",IFERROR(SUMIFS('Conciliação'!$G$6:$G$305,'Conciliação'!$B$6:$B$305,$A199,'Conciliação'!$S$6:$S$305,"OK"),0))</f>
        <v/>
      </c>
      <c r="I199" s="24">
        <f>IF($A199="","",IF(OR(NOT(ISNUMBER($D199)),NOT(ISNUMBER($E199)),AND($F199&lt;&gt;"",NOT(ISNUMBER($F199)))),"",MAX(0,$D199-$E199-$H199-IF($F199="",'Configurações'!$B$2,$F199))))</f>
        <v/>
      </c>
      <c r="J199" s="24">
        <f>IF($A199="","",IFERROR(SUMIFS('Conciliação'!$F$6:$F$305,'Conciliação'!$B$6:$B$305,$A199,'Conciliação'!$S$6:$S$305,"OK"),0))</f>
        <v/>
      </c>
      <c r="K199" s="24">
        <f>IF(OR($I199="",$J199=""),"",MAX(0,$J199-$I199))</f>
        <v/>
      </c>
      <c r="L199" s="25">
        <f>IF($A199="","",IF($C199="Inativo",IF($J199&gt;0,"INATIVO COM PUBLICAÇÃO","INATIVO"),IF($I199="","REVISAR DADOS",IF($K199&gt;0,"EXPOSIÇÃO ACIMA DO DISPONÍVEL",IF($I199=0,"SEM SALDO DISPONÍVEL",IF($G199="","SEM DATA",IF('Configurações'!$B$5-$G199&gt;'Configurações'!$B$4,"ATUALIZAÇÃO VENCIDA","OK")))))))</f>
        <v/>
      </c>
      <c r="M199" s="25">
        <f>IF(COUNTA($A199:$G199)=0,"",IF($A199="","SKU AUSENTE",IF(COUNTIF($A$6:$A$205,$A199)&gt;1,"SKU DUPLICADO",IF($B199="","PRODUTO AUSENTE",IF(AND($C199&lt;&gt;"Ativo",$C199&lt;&gt;"Inativo"),"STATUS INVÁLIDO",IF(IFERROR(OR(NOT(ISNUMBER($D199)),$D199&lt;0,MOD($D199,1)&lt;&gt;0),TRUE),"SALDO FÍSICO INVÁLIDO",IF(IFERROR(OR(NOT(ISNUMBER($E199)),$E199&lt;0,MOD($E199,1)&lt;&gt;0),TRUE),"RESERVAS INVÁLIDAS",IF(AND($F199&lt;&gt;"",IFERROR(OR(NOT(ISNUMBER($F199)),$F199&lt;0,MOD($F199,1)&lt;&gt;0),TRUE)),"ESTOQUE DE SEGURANÇA INVÁLIDO",IF(IFERROR(OR(NOT(ISNUMBER($G199)),$G199&gt;'Configurações'!$B$5),TRUE),"DATA INVÁLIDA",IF($E199&gt;$D199,"RESERVAS MAIORES QUE O SALDO","OK"))))))))))</f>
        <v/>
      </c>
    </row>
    <row r="200">
      <c r="A200" s="21" t="n"/>
      <c r="B200" s="21" t="n"/>
      <c r="C200" s="21" t="n"/>
      <c r="D200" s="22" t="n"/>
      <c r="E200" s="22" t="n"/>
      <c r="F200" s="22" t="n"/>
      <c r="G200" s="23" t="n"/>
      <c r="H200" s="24">
        <f>IF($A200="","",IFERROR(SUMIFS('Conciliação'!$G$6:$G$305,'Conciliação'!$B$6:$B$305,$A200,'Conciliação'!$S$6:$S$305,"OK"),0))</f>
        <v/>
      </c>
      <c r="I200" s="24">
        <f>IF($A200="","",IF(OR(NOT(ISNUMBER($D200)),NOT(ISNUMBER($E200)),AND($F200&lt;&gt;"",NOT(ISNUMBER($F200)))),"",MAX(0,$D200-$E200-$H200-IF($F200="",'Configurações'!$B$2,$F200))))</f>
        <v/>
      </c>
      <c r="J200" s="24">
        <f>IF($A200="","",IFERROR(SUMIFS('Conciliação'!$F$6:$F$305,'Conciliação'!$B$6:$B$305,$A200,'Conciliação'!$S$6:$S$305,"OK"),0))</f>
        <v/>
      </c>
      <c r="K200" s="24">
        <f>IF(OR($I200="",$J200=""),"",MAX(0,$J200-$I200))</f>
        <v/>
      </c>
      <c r="L200" s="25">
        <f>IF($A200="","",IF($C200="Inativo",IF($J200&gt;0,"INATIVO COM PUBLICAÇÃO","INATIVO"),IF($I200="","REVISAR DADOS",IF($K200&gt;0,"EXPOSIÇÃO ACIMA DO DISPONÍVEL",IF($I200=0,"SEM SALDO DISPONÍVEL",IF($G200="","SEM DATA",IF('Configurações'!$B$5-$G200&gt;'Configurações'!$B$4,"ATUALIZAÇÃO VENCIDA","OK")))))))</f>
        <v/>
      </c>
      <c r="M200" s="25">
        <f>IF(COUNTA($A200:$G200)=0,"",IF($A200="","SKU AUSENTE",IF(COUNTIF($A$6:$A$205,$A200)&gt;1,"SKU DUPLICADO",IF($B200="","PRODUTO AUSENTE",IF(AND($C200&lt;&gt;"Ativo",$C200&lt;&gt;"Inativo"),"STATUS INVÁLIDO",IF(IFERROR(OR(NOT(ISNUMBER($D200)),$D200&lt;0,MOD($D200,1)&lt;&gt;0),TRUE),"SALDO FÍSICO INVÁLIDO",IF(IFERROR(OR(NOT(ISNUMBER($E200)),$E200&lt;0,MOD($E200,1)&lt;&gt;0),TRUE),"RESERVAS INVÁLIDAS",IF(AND($F200&lt;&gt;"",IFERROR(OR(NOT(ISNUMBER($F200)),$F200&lt;0,MOD($F200,1)&lt;&gt;0),TRUE)),"ESTOQUE DE SEGURANÇA INVÁLIDO",IF(IFERROR(OR(NOT(ISNUMBER($G200)),$G200&gt;'Configurações'!$B$5),TRUE),"DATA INVÁLIDA",IF($E200&gt;$D200,"RESERVAS MAIORES QUE O SALDO","OK"))))))))))</f>
        <v/>
      </c>
    </row>
    <row r="201">
      <c r="A201" s="21" t="n"/>
      <c r="B201" s="21" t="n"/>
      <c r="C201" s="21" t="n"/>
      <c r="D201" s="22" t="n"/>
      <c r="E201" s="22" t="n"/>
      <c r="F201" s="22" t="n"/>
      <c r="G201" s="23" t="n"/>
      <c r="H201" s="24">
        <f>IF($A201="","",IFERROR(SUMIFS('Conciliação'!$G$6:$G$305,'Conciliação'!$B$6:$B$305,$A201,'Conciliação'!$S$6:$S$305,"OK"),0))</f>
        <v/>
      </c>
      <c r="I201" s="24">
        <f>IF($A201="","",IF(OR(NOT(ISNUMBER($D201)),NOT(ISNUMBER($E201)),AND($F201&lt;&gt;"",NOT(ISNUMBER($F201)))),"",MAX(0,$D201-$E201-$H201-IF($F201="",'Configurações'!$B$2,$F201))))</f>
        <v/>
      </c>
      <c r="J201" s="24">
        <f>IF($A201="","",IFERROR(SUMIFS('Conciliação'!$F$6:$F$305,'Conciliação'!$B$6:$B$305,$A201,'Conciliação'!$S$6:$S$305,"OK"),0))</f>
        <v/>
      </c>
      <c r="K201" s="24">
        <f>IF(OR($I201="",$J201=""),"",MAX(0,$J201-$I201))</f>
        <v/>
      </c>
      <c r="L201" s="25">
        <f>IF($A201="","",IF($C201="Inativo",IF($J201&gt;0,"INATIVO COM PUBLICAÇÃO","INATIVO"),IF($I201="","REVISAR DADOS",IF($K201&gt;0,"EXPOSIÇÃO ACIMA DO DISPONÍVEL",IF($I201=0,"SEM SALDO DISPONÍVEL",IF($G201="","SEM DATA",IF('Configurações'!$B$5-$G201&gt;'Configurações'!$B$4,"ATUALIZAÇÃO VENCIDA","OK")))))))</f>
        <v/>
      </c>
      <c r="M201" s="25">
        <f>IF(COUNTA($A201:$G201)=0,"",IF($A201="","SKU AUSENTE",IF(COUNTIF($A$6:$A$205,$A201)&gt;1,"SKU DUPLICADO",IF($B201="","PRODUTO AUSENTE",IF(AND($C201&lt;&gt;"Ativo",$C201&lt;&gt;"Inativo"),"STATUS INVÁLIDO",IF(IFERROR(OR(NOT(ISNUMBER($D201)),$D201&lt;0,MOD($D201,1)&lt;&gt;0),TRUE),"SALDO FÍSICO INVÁLIDO",IF(IFERROR(OR(NOT(ISNUMBER($E201)),$E201&lt;0,MOD($E201,1)&lt;&gt;0),TRUE),"RESERVAS INVÁLIDAS",IF(AND($F201&lt;&gt;"",IFERROR(OR(NOT(ISNUMBER($F201)),$F201&lt;0,MOD($F201,1)&lt;&gt;0),TRUE)),"ESTOQUE DE SEGURANÇA INVÁLIDO",IF(IFERROR(OR(NOT(ISNUMBER($G201)),$G201&gt;'Configurações'!$B$5),TRUE),"DATA INVÁLIDA",IF($E201&gt;$D201,"RESERVAS MAIORES QUE O SALDO","OK"))))))))))</f>
        <v/>
      </c>
    </row>
    <row r="202">
      <c r="A202" s="21" t="n"/>
      <c r="B202" s="21" t="n"/>
      <c r="C202" s="21" t="n"/>
      <c r="D202" s="22" t="n"/>
      <c r="E202" s="22" t="n"/>
      <c r="F202" s="22" t="n"/>
      <c r="G202" s="23" t="n"/>
      <c r="H202" s="24">
        <f>IF($A202="","",IFERROR(SUMIFS('Conciliação'!$G$6:$G$305,'Conciliação'!$B$6:$B$305,$A202,'Conciliação'!$S$6:$S$305,"OK"),0))</f>
        <v/>
      </c>
      <c r="I202" s="24">
        <f>IF($A202="","",IF(OR(NOT(ISNUMBER($D202)),NOT(ISNUMBER($E202)),AND($F202&lt;&gt;"",NOT(ISNUMBER($F202)))),"",MAX(0,$D202-$E202-$H202-IF($F202="",'Configurações'!$B$2,$F202))))</f>
        <v/>
      </c>
      <c r="J202" s="24">
        <f>IF($A202="","",IFERROR(SUMIFS('Conciliação'!$F$6:$F$305,'Conciliação'!$B$6:$B$305,$A202,'Conciliação'!$S$6:$S$305,"OK"),0))</f>
        <v/>
      </c>
      <c r="K202" s="24">
        <f>IF(OR($I202="",$J202=""),"",MAX(0,$J202-$I202))</f>
        <v/>
      </c>
      <c r="L202" s="25">
        <f>IF($A202="","",IF($C202="Inativo",IF($J202&gt;0,"INATIVO COM PUBLICAÇÃO","INATIVO"),IF($I202="","REVISAR DADOS",IF($K202&gt;0,"EXPOSIÇÃO ACIMA DO DISPONÍVEL",IF($I202=0,"SEM SALDO DISPONÍVEL",IF($G202="","SEM DATA",IF('Configurações'!$B$5-$G202&gt;'Configurações'!$B$4,"ATUALIZAÇÃO VENCIDA","OK")))))))</f>
        <v/>
      </c>
      <c r="M202" s="25">
        <f>IF(COUNTA($A202:$G202)=0,"",IF($A202="","SKU AUSENTE",IF(COUNTIF($A$6:$A$205,$A202)&gt;1,"SKU DUPLICADO",IF($B202="","PRODUTO AUSENTE",IF(AND($C202&lt;&gt;"Ativo",$C202&lt;&gt;"Inativo"),"STATUS INVÁLIDO",IF(IFERROR(OR(NOT(ISNUMBER($D202)),$D202&lt;0,MOD($D202,1)&lt;&gt;0),TRUE),"SALDO FÍSICO INVÁLIDO",IF(IFERROR(OR(NOT(ISNUMBER($E202)),$E202&lt;0,MOD($E202,1)&lt;&gt;0),TRUE),"RESERVAS INVÁLIDAS",IF(AND($F202&lt;&gt;"",IFERROR(OR(NOT(ISNUMBER($F202)),$F202&lt;0,MOD($F202,1)&lt;&gt;0),TRUE)),"ESTOQUE DE SEGURANÇA INVÁLIDO",IF(IFERROR(OR(NOT(ISNUMBER($G202)),$G202&gt;'Configurações'!$B$5),TRUE),"DATA INVÁLIDA",IF($E202&gt;$D202,"RESERVAS MAIORES QUE O SALDO","OK"))))))))))</f>
        <v/>
      </c>
    </row>
    <row r="203">
      <c r="A203" s="21" t="n"/>
      <c r="B203" s="21" t="n"/>
      <c r="C203" s="21" t="n"/>
      <c r="D203" s="22" t="n"/>
      <c r="E203" s="22" t="n"/>
      <c r="F203" s="22" t="n"/>
      <c r="G203" s="23" t="n"/>
      <c r="H203" s="24">
        <f>IF($A203="","",IFERROR(SUMIFS('Conciliação'!$G$6:$G$305,'Conciliação'!$B$6:$B$305,$A203,'Conciliação'!$S$6:$S$305,"OK"),0))</f>
        <v/>
      </c>
      <c r="I203" s="24">
        <f>IF($A203="","",IF(OR(NOT(ISNUMBER($D203)),NOT(ISNUMBER($E203)),AND($F203&lt;&gt;"",NOT(ISNUMBER($F203)))),"",MAX(0,$D203-$E203-$H203-IF($F203="",'Configurações'!$B$2,$F203))))</f>
        <v/>
      </c>
      <c r="J203" s="24">
        <f>IF($A203="","",IFERROR(SUMIFS('Conciliação'!$F$6:$F$305,'Conciliação'!$B$6:$B$305,$A203,'Conciliação'!$S$6:$S$305,"OK"),0))</f>
        <v/>
      </c>
      <c r="K203" s="24">
        <f>IF(OR($I203="",$J203=""),"",MAX(0,$J203-$I203))</f>
        <v/>
      </c>
      <c r="L203" s="25">
        <f>IF($A203="","",IF($C203="Inativo",IF($J203&gt;0,"INATIVO COM PUBLICAÇÃO","INATIVO"),IF($I203="","REVISAR DADOS",IF($K203&gt;0,"EXPOSIÇÃO ACIMA DO DISPONÍVEL",IF($I203=0,"SEM SALDO DISPONÍVEL",IF($G203="","SEM DATA",IF('Configurações'!$B$5-$G203&gt;'Configurações'!$B$4,"ATUALIZAÇÃO VENCIDA","OK")))))))</f>
        <v/>
      </c>
      <c r="M203" s="25">
        <f>IF(COUNTA($A203:$G203)=0,"",IF($A203="","SKU AUSENTE",IF(COUNTIF($A$6:$A$205,$A203)&gt;1,"SKU DUPLICADO",IF($B203="","PRODUTO AUSENTE",IF(AND($C203&lt;&gt;"Ativo",$C203&lt;&gt;"Inativo"),"STATUS INVÁLIDO",IF(IFERROR(OR(NOT(ISNUMBER($D203)),$D203&lt;0,MOD($D203,1)&lt;&gt;0),TRUE),"SALDO FÍSICO INVÁLIDO",IF(IFERROR(OR(NOT(ISNUMBER($E203)),$E203&lt;0,MOD($E203,1)&lt;&gt;0),TRUE),"RESERVAS INVÁLIDAS",IF(AND($F203&lt;&gt;"",IFERROR(OR(NOT(ISNUMBER($F203)),$F203&lt;0,MOD($F203,1)&lt;&gt;0),TRUE)),"ESTOQUE DE SEGURANÇA INVÁLIDO",IF(IFERROR(OR(NOT(ISNUMBER($G203)),$G203&gt;'Configurações'!$B$5),TRUE),"DATA INVÁLIDA",IF($E203&gt;$D203,"RESERVAS MAIORES QUE O SALDO","OK"))))))))))</f>
        <v/>
      </c>
    </row>
    <row r="204">
      <c r="A204" s="21" t="n"/>
      <c r="B204" s="21" t="n"/>
      <c r="C204" s="21" t="n"/>
      <c r="D204" s="22" t="n"/>
      <c r="E204" s="22" t="n"/>
      <c r="F204" s="22" t="n"/>
      <c r="G204" s="23" t="n"/>
      <c r="H204" s="24">
        <f>IF($A204="","",IFERROR(SUMIFS('Conciliação'!$G$6:$G$305,'Conciliação'!$B$6:$B$305,$A204,'Conciliação'!$S$6:$S$305,"OK"),0))</f>
        <v/>
      </c>
      <c r="I204" s="24">
        <f>IF($A204="","",IF(OR(NOT(ISNUMBER($D204)),NOT(ISNUMBER($E204)),AND($F204&lt;&gt;"",NOT(ISNUMBER($F204)))),"",MAX(0,$D204-$E204-$H204-IF($F204="",'Configurações'!$B$2,$F204))))</f>
        <v/>
      </c>
      <c r="J204" s="24">
        <f>IF($A204="","",IFERROR(SUMIFS('Conciliação'!$F$6:$F$305,'Conciliação'!$B$6:$B$305,$A204,'Conciliação'!$S$6:$S$305,"OK"),0))</f>
        <v/>
      </c>
      <c r="K204" s="24">
        <f>IF(OR($I204="",$J204=""),"",MAX(0,$J204-$I204))</f>
        <v/>
      </c>
      <c r="L204" s="25">
        <f>IF($A204="","",IF($C204="Inativo",IF($J204&gt;0,"INATIVO COM PUBLICAÇÃO","INATIVO"),IF($I204="","REVISAR DADOS",IF($K204&gt;0,"EXPOSIÇÃO ACIMA DO DISPONÍVEL",IF($I204=0,"SEM SALDO DISPONÍVEL",IF($G204="","SEM DATA",IF('Configurações'!$B$5-$G204&gt;'Configurações'!$B$4,"ATUALIZAÇÃO VENCIDA","OK")))))))</f>
        <v/>
      </c>
      <c r="M204" s="25">
        <f>IF(COUNTA($A204:$G204)=0,"",IF($A204="","SKU AUSENTE",IF(COUNTIF($A$6:$A$205,$A204)&gt;1,"SKU DUPLICADO",IF($B204="","PRODUTO AUSENTE",IF(AND($C204&lt;&gt;"Ativo",$C204&lt;&gt;"Inativo"),"STATUS INVÁLIDO",IF(IFERROR(OR(NOT(ISNUMBER($D204)),$D204&lt;0,MOD($D204,1)&lt;&gt;0),TRUE),"SALDO FÍSICO INVÁLIDO",IF(IFERROR(OR(NOT(ISNUMBER($E204)),$E204&lt;0,MOD($E204,1)&lt;&gt;0),TRUE),"RESERVAS INVÁLIDAS",IF(AND($F204&lt;&gt;"",IFERROR(OR(NOT(ISNUMBER($F204)),$F204&lt;0,MOD($F204,1)&lt;&gt;0),TRUE)),"ESTOQUE DE SEGURANÇA INVÁLIDO",IF(IFERROR(OR(NOT(ISNUMBER($G204)),$G204&gt;'Configurações'!$B$5),TRUE),"DATA INVÁLIDA",IF($E204&gt;$D204,"RESERVAS MAIORES QUE O SALDO","OK"))))))))))</f>
        <v/>
      </c>
    </row>
    <row r="205">
      <c r="A205" s="21" t="n"/>
      <c r="B205" s="21" t="n"/>
      <c r="C205" s="21" t="n"/>
      <c r="D205" s="22" t="n"/>
      <c r="E205" s="22" t="n"/>
      <c r="F205" s="22" t="n"/>
      <c r="G205" s="23" t="n"/>
      <c r="H205" s="24">
        <f>IF($A205="","",IFERROR(SUMIFS('Conciliação'!$G$6:$G$305,'Conciliação'!$B$6:$B$305,$A205,'Conciliação'!$S$6:$S$305,"OK"),0))</f>
        <v/>
      </c>
      <c r="I205" s="24">
        <f>IF($A205="","",IF(OR(NOT(ISNUMBER($D205)),NOT(ISNUMBER($E205)),AND($F205&lt;&gt;"",NOT(ISNUMBER($F205)))),"",MAX(0,$D205-$E205-$H205-IF($F205="",'Configurações'!$B$2,$F205))))</f>
        <v/>
      </c>
      <c r="J205" s="24">
        <f>IF($A205="","",IFERROR(SUMIFS('Conciliação'!$F$6:$F$305,'Conciliação'!$B$6:$B$305,$A205,'Conciliação'!$S$6:$S$305,"OK"),0))</f>
        <v/>
      </c>
      <c r="K205" s="24">
        <f>IF(OR($I205="",$J205=""),"",MAX(0,$J205-$I205))</f>
        <v/>
      </c>
      <c r="L205" s="25">
        <f>IF($A205="","",IF($C205="Inativo",IF($J205&gt;0,"INATIVO COM PUBLICAÇÃO","INATIVO"),IF($I205="","REVISAR DADOS",IF($K205&gt;0,"EXPOSIÇÃO ACIMA DO DISPONÍVEL",IF($I205=0,"SEM SALDO DISPONÍVEL",IF($G205="","SEM DATA",IF('Configurações'!$B$5-$G205&gt;'Configurações'!$B$4,"ATUALIZAÇÃO VENCIDA","OK")))))))</f>
        <v/>
      </c>
      <c r="M205" s="25">
        <f>IF(COUNTA($A205:$G205)=0,"",IF($A205="","SKU AUSENTE",IF(COUNTIF($A$6:$A$205,$A205)&gt;1,"SKU DUPLICADO",IF($B205="","PRODUTO AUSENTE",IF(AND($C205&lt;&gt;"Ativo",$C205&lt;&gt;"Inativo"),"STATUS INVÁLIDO",IF(IFERROR(OR(NOT(ISNUMBER($D205)),$D205&lt;0,MOD($D205,1)&lt;&gt;0),TRUE),"SALDO FÍSICO INVÁLIDO",IF(IFERROR(OR(NOT(ISNUMBER($E205)),$E205&lt;0,MOD($E205,1)&lt;&gt;0),TRUE),"RESERVAS INVÁLIDAS",IF(AND($F205&lt;&gt;"",IFERROR(OR(NOT(ISNUMBER($F205)),$F205&lt;0,MOD($F205,1)&lt;&gt;0),TRUE)),"ESTOQUE DE SEGURANÇA INVÁLIDO",IF(IFERROR(OR(NOT(ISNUMBER($G205)),$G205&gt;'Configurações'!$B$5),TRUE),"DATA INVÁLIDA",IF($E205&gt;$D205,"RESERVAS MAIORES QUE O SALDO","OK"))))))))))</f>
        <v/>
      </c>
    </row>
  </sheetData>
  <mergeCells count="1">
    <mergeCell ref="A1:M1"/>
  </mergeCells>
  <conditionalFormatting sqref="A6:A205">
    <cfRule type="expression" priority="1" dxfId="0">
      <formula>COUNTIF($A$6:$A$205,A6)&gt;1</formula>
    </cfRule>
  </conditionalFormatting>
  <conditionalFormatting sqref="I6:I205">
    <cfRule type="expression" priority="2" dxfId="0">
      <formula>AND($A6&lt;&gt;"",$C6="Ativo",$I6=0)</formula>
    </cfRule>
  </conditionalFormatting>
  <conditionalFormatting sqref="K6:K205">
    <cfRule type="expression" priority="3" dxfId="0">
      <formula>AND(ISNUMBER($K6),$K6&gt;0)</formula>
    </cfRule>
  </conditionalFormatting>
  <conditionalFormatting sqref="L6:L205">
    <cfRule type="expression" priority="4" dxfId="0">
      <formula>OR($L6="EXPOSIÇÃO ACIMA DO DISPONÍVEL",$L6="INATIVO COM PUBLICAÇÃO")</formula>
    </cfRule>
    <cfRule type="expression" priority="5" dxfId="2">
      <formula>OR($L6="ATUALIZAÇÃO VENCIDA",$L6="SEM SALDO DISPONÍVEL")</formula>
    </cfRule>
    <cfRule type="expression" priority="6" dxfId="4">
      <formula>$L6="OK"</formula>
    </cfRule>
    <cfRule type="expression" priority="7" dxfId="5">
      <formula>$L6="INATIVO"</formula>
    </cfRule>
  </conditionalFormatting>
  <conditionalFormatting sqref="M6:M205">
    <cfRule type="expression" priority="8" dxfId="0">
      <formula>AND($M6&lt;&gt;"",$M6&lt;&gt;"OK")</formula>
    </cfRule>
  </conditionalFormatting>
  <conditionalFormatting sqref="G6:G205">
    <cfRule type="expression" priority="9" dxfId="2">
      <formula>AND(ISNUMBER($G6),'Configurações'!$B$5-$G6&gt;'Configurações'!$B$4)</formula>
    </cfRule>
  </conditionalFormatting>
  <dataValidations count="5">
    <dataValidation sqref="A6:A205" showDropDown="0" showInputMessage="0" showErrorMessage="1" allowBlank="0" errorTitle="SKU inválido" error="Informe um SKU com até 30 caracteres." type="textLength" errorStyle="stop" operator="lessThanOrEqual">
      <formula1>30</formula1>
    </dataValidation>
    <dataValidation sqref="B6:B205" showDropDown="0" showInputMessage="0" showErrorMessage="1" allowBlank="0" errorTitle="Produto inválido" error="Informe um produto com até 80 caracteres." type="textLength" errorStyle="stop" operator="lessThanOrEqual">
      <formula1>80</formula1>
    </dataValidation>
    <dataValidation sqref="C6:C205" showDropDown="0" showInputMessage="0" showErrorMessage="1" allowBlank="0" errorTitle="Status inválido" error="Selecione Ativo ou Inativo." type="list" errorStyle="stop">
      <formula1>"Ativo,Inativo"</formula1>
    </dataValidation>
    <dataValidation sqref="D6:F205" showDropDown="0" showInputMessage="0" showErrorMessage="1" allowBlank="0" errorTitle="Quantidade inválida" error="Informe um número inteiro entre 0 e 1.000.000." type="whole" errorStyle="stop" operator="between">
      <formula1>0</formula1>
      <formula2>1000000</formula2>
    </dataValidation>
    <dataValidation sqref="G6:G205" showDropDown="0" showInputMessage="0" showErrorMessage="1" allowBlank="0" errorTitle="Data inválida" error="Informe uma data entre 01/01/2020 e 31/12/2099." type="date" errorStyle="stop" operator="between">
      <formula1>DATE(2020,1,1)</formula1>
      <formula2>DATE(2099,12,31)</formula2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7473A"/>
    <outlinePr summaryBelow="1" summaryRight="1"/>
    <pageSetUpPr fitToPage="1"/>
  </sheetPr>
  <dimension ref="A1:S305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7" customWidth="1" min="3" max="3"/>
    <col width="15" customWidth="1" min="4" max="4"/>
    <col width="20" customWidth="1" min="5" max="5"/>
    <col width="16" customWidth="1" min="6" max="6"/>
    <col width="17" customWidth="1" min="7" max="7"/>
    <col width="13" customWidth="1" min="8" max="8"/>
    <col width="17" customWidth="1" min="9" max="9"/>
    <col width="16" customWidth="1" min="10" max="10"/>
    <col width="15" customWidth="1" min="11" max="11"/>
    <col width="17" customWidth="1" min="12" max="12"/>
    <col width="17" customWidth="1" min="13" max="13"/>
    <col width="12" customWidth="1" min="14" max="14"/>
    <col width="23" customWidth="1" min="15" max="15"/>
    <col width="21" customWidth="1" min="16" max="16"/>
    <col width="13" customWidth="1" min="17" max="17"/>
    <col width="18" customWidth="1" min="18" max="18"/>
    <col width="34" customWidth="1" min="19" max="19"/>
  </cols>
  <sheetData>
    <row r="1" ht="27" customHeight="1">
      <c r="A1" s="1" t="inlineStr">
        <is>
          <t>Conciliação e Fila de Sincronização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40" t="n"/>
    </row>
    <row r="2"/>
    <row r="3">
      <c r="A3" s="26" t="inlineStr">
        <is>
          <t>Uma linha por combinação única de SKU e canal. Use os filtros da tabela para executar a sincronização.</t>
        </is>
      </c>
    </row>
    <row r="4"/>
    <row r="5" ht="31" customHeight="1">
      <c r="A5" s="8" t="inlineStr">
        <is>
          <t>ID do registro</t>
        </is>
      </c>
      <c r="B5" s="8" t="inlineStr">
        <is>
          <t>SKU</t>
        </is>
      </c>
      <c r="C5" s="8" t="inlineStr">
        <is>
          <t>Produto</t>
        </is>
      </c>
      <c r="D5" s="8" t="inlineStr">
        <is>
          <t>Status do SKU</t>
        </is>
      </c>
      <c r="E5" s="8" t="inlineStr">
        <is>
          <t>Canal</t>
        </is>
      </c>
      <c r="F5" s="8" t="inlineStr">
        <is>
          <t>Saldo publicado</t>
        </is>
      </c>
      <c r="G5" s="8" t="inlineStr">
        <is>
          <t>Pedidos pendentes</t>
        </is>
      </c>
      <c r="H5" s="8" t="inlineStr">
        <is>
          <t>Canal ativo</t>
        </is>
      </c>
      <c r="I5" s="8" t="inlineStr">
        <is>
          <t>Alocação do canal</t>
        </is>
      </c>
      <c r="J5" s="8" t="inlineStr">
        <is>
          <t>Máximo por SKU</t>
        </is>
      </c>
      <c r="K5" s="8" t="inlineStr">
        <is>
          <t>Limiar crítico</t>
        </is>
      </c>
      <c r="L5" s="8" t="inlineStr">
        <is>
          <t>Disponível global</t>
        </is>
      </c>
      <c r="M5" s="8" t="inlineStr">
        <is>
          <t>Saldo publicável</t>
        </is>
      </c>
      <c r="N5" s="8" t="inlineStr">
        <is>
          <t>Diferença</t>
        </is>
      </c>
      <c r="O5" s="8" t="inlineStr">
        <is>
          <t>Ação de sincronização</t>
        </is>
      </c>
      <c r="P5" s="8" t="inlineStr">
        <is>
          <t>Risco de overselling</t>
        </is>
      </c>
      <c r="Q5" s="8" t="inlineStr">
        <is>
          <t>Prioridade</t>
        </is>
      </c>
      <c r="R5" s="8" t="inlineStr">
        <is>
          <t>Última conferência</t>
        </is>
      </c>
      <c r="S5" s="8" t="inlineStr">
        <is>
          <t>Checagem</t>
        </is>
      </c>
    </row>
    <row r="6">
      <c r="A6" s="21" t="inlineStr">
        <is>
          <t>PUB-FIC-0001</t>
        </is>
      </c>
      <c r="B6" s="21" t="inlineStr">
        <is>
          <t>FIC-CAN-001</t>
        </is>
      </c>
      <c r="C6" s="27">
        <f>IFERROR(VLOOKUP($B6,'Estoque Central'!$A$6:$M$205,2,FALSE),"")</f>
        <v/>
      </c>
      <c r="D6" s="25">
        <f>IFERROR(VLOOKUP($B6,'Estoque Central'!$A$6:$M$205,3,FALSE),"")</f>
        <v/>
      </c>
      <c r="E6" s="21" t="inlineStr">
        <is>
          <t>Loja própria</t>
        </is>
      </c>
      <c r="F6" s="22" t="n">
        <v>10</v>
      </c>
      <c r="G6" s="22" t="n">
        <v>2</v>
      </c>
      <c r="H6" s="25">
        <f>IFERROR(VLOOKUP($E6,'Configurações'!$A$11:$F$20,2,FALSE),"")</f>
        <v/>
      </c>
      <c r="I6" s="28">
        <f>IFERROR(VLOOKUP($E6,'Configurações'!$A$11:$F$20,3,FALSE),"")</f>
        <v/>
      </c>
      <c r="J6" s="24">
        <f>IFERROR(VLOOKUP($E6,'Configurações'!$A$11:$F$20,4,FALSE),"")</f>
        <v/>
      </c>
      <c r="K6" s="24">
        <f>IFERROR(VLOOKUP($E6,'Configurações'!$A$11:$F$20,5,FALSE),"")</f>
        <v/>
      </c>
      <c r="L6" s="24">
        <f>IFERROR(VLOOKUP($B6,'Estoque Central'!$A$6:$M$205,9,FALSE),"")</f>
        <v/>
      </c>
      <c r="M6" s="24">
        <f>IF(COUNTA($A6:$B6,$E6:$G6,$R6)=0,"",IFERROR(IF(OR($C6="",$H6=""),"",IF(OR($D6&lt;&gt;"Ativo",$H6&lt;&gt;"Sim"),0,MIN(IF($J6="",$L6,$J6),ROUNDDOWN($L6*$I6,0)))),""))</f>
        <v/>
      </c>
      <c r="N6" s="24">
        <f>IF(OR($M6="",NOT(ISNUMBER($F6))),"",$M6-$F6)</f>
        <v/>
      </c>
      <c r="O6" s="25">
        <f>IF(COUNTA($A6:$B6,$E6:$G6,$R6)=0,"",IF($S6&lt;&gt;"OK","REVISAR CADASTRO",IF($N6&gt;0,"AUMENTAR",IF($N6&lt;0,"REDUZIR","SEM AÇÃO"))))</f>
        <v/>
      </c>
      <c r="P6" s="25">
        <f>IF(COUNTA($A6:$B6,$E6:$G6,$R6)=0,"",IF($S6&lt;&gt;"OK","REVISAR",IF(OR($D6&lt;&gt;"Ativo",$H6&lt;&gt;"Sim"),IF($F6&gt;0,"ALTO","SEM EXPOSIÇÃO"),IF(OR($F6&gt;$M6,SUMIFS($F$6:$F$305,$B$6:$B$305,$B6,$S$6:$S$305,"OK")&gt;$L6),"ALTO",IF(AND($F6&gt;0,$L6&lt;=$K6),"MÉDIO","BAIXO")))))</f>
        <v/>
      </c>
      <c r="Q6" s="25">
        <f>IF(COUNTA($A6:$B6,$E6:$G6,$R6)=0,"",IF($S6&lt;&gt;"OK","REVISAR",IF($O6="SEM AÇÃO","BAIXA",IF(OR($P6="ALTO",ABS($N6)&gt;='Configurações'!$B$3),"URGENTE",IF(OR($P6="MÉDIO",'Configurações'!$B$5-$R6&gt;'Configurações'!$B$4),"ALTA","NORMAL")))))</f>
        <v/>
      </c>
      <c r="R6" s="23" t="n">
        <v>46271</v>
      </c>
      <c r="S6" s="25">
        <f>IF(COUNTA($A6:$B6,$E6:$G6,$R6)=0,"",IF($A6="","ID AUSENTE",IF(COUNTIF($A$6:$A$305,$A6)&gt;1,"ID DUPLICADO",IF($B6="","SKU AUSENTE",IF(COUNTIF('Estoque Central'!$A$6:$A$205,$B6)=0,"SKU NÃO CADASTRADO",IF(IFERROR(VLOOKUP($B6,'Estoque Central'!$A$6:$M$205,13,FALSE),"")&lt;&gt;"OK","ESTOQUE CENTRAL COM PENDÊNCIA",IF($E6="","CANAL AUSENTE",IF(COUNTIF('Configurações'!$A$11:$A$20,$E6)=0,"CANAL NÃO CONFIGURADO",IF(IFERROR(VLOOKUP($E6,'Configurações'!$A$11:$F$20,6,FALSE),"")&lt;&gt;"OK","CANAL COM PENDÊNCIA",IF(COUNTIFS($B$6:$B$305,$B6,$E$6:$E$305,$E6)&gt;1,"SKU/CANAL DUPLICADO",IF(IFERROR(OR(NOT(ISNUMBER($F6)),$F6&lt;0,MOD($F6,1)&lt;&gt;0),TRUE),"SALDO PUBLICADO INVÁLIDO",IF(IFERROR(OR(NOT(ISNUMBER($G6)),$G6&lt;0,MOD($G6,1)&lt;&gt;0),TRUE),"PEDIDOS PENDENTES INVÁLIDOS",IF(IFERROR(OR(NOT(ISNUMBER($R6)),$R6&gt;'Configurações'!$B$5),TRUE),"DATA INVÁLIDA","OK")))))))))))))</f>
        <v/>
      </c>
    </row>
    <row r="7">
      <c r="A7" s="21" t="inlineStr">
        <is>
          <t>PUB-FIC-0002</t>
        </is>
      </c>
      <c r="B7" s="21" t="inlineStr">
        <is>
          <t>FIC-CAN-001</t>
        </is>
      </c>
      <c r="C7" s="27">
        <f>IFERROR(VLOOKUP($B7,'Estoque Central'!$A$6:$M$205,2,FALSE),"")</f>
        <v/>
      </c>
      <c r="D7" s="25">
        <f>IFERROR(VLOOKUP($B7,'Estoque Central'!$A$6:$M$205,3,FALSE),"")</f>
        <v/>
      </c>
      <c r="E7" s="21" t="inlineStr">
        <is>
          <t>Mercado Alfa</t>
        </is>
      </c>
      <c r="F7" s="22" t="n">
        <v>15</v>
      </c>
      <c r="G7" s="22" t="n">
        <v>1</v>
      </c>
      <c r="H7" s="25">
        <f>IFERROR(VLOOKUP($E7,'Configurações'!$A$11:$F$20,2,FALSE),"")</f>
        <v/>
      </c>
      <c r="I7" s="28">
        <f>IFERROR(VLOOKUP($E7,'Configurações'!$A$11:$F$20,3,FALSE),"")</f>
        <v/>
      </c>
      <c r="J7" s="24">
        <f>IFERROR(VLOOKUP($E7,'Configurações'!$A$11:$F$20,4,FALSE),"")</f>
        <v/>
      </c>
      <c r="K7" s="24">
        <f>IFERROR(VLOOKUP($E7,'Configurações'!$A$11:$F$20,5,FALSE),"")</f>
        <v/>
      </c>
      <c r="L7" s="24">
        <f>IFERROR(VLOOKUP($B7,'Estoque Central'!$A$6:$M$205,9,FALSE),"")</f>
        <v/>
      </c>
      <c r="M7" s="24">
        <f>IF(COUNTA($A7:$B7,$E7:$G7,$R7)=0,"",IFERROR(IF(OR($C7="",$H7=""),"",IF(OR($D7&lt;&gt;"Ativo",$H7&lt;&gt;"Sim"),0,MIN(IF($J7="",$L7,$J7),ROUNDDOWN($L7*$I7,0)))),""))</f>
        <v/>
      </c>
      <c r="N7" s="24">
        <f>IF(OR($M7="",NOT(ISNUMBER($F7))),"",$M7-$F7)</f>
        <v/>
      </c>
      <c r="O7" s="25">
        <f>IF(COUNTA($A7:$B7,$E7:$G7,$R7)=0,"",IF($S7&lt;&gt;"OK","REVISAR CADASTRO",IF($N7&gt;0,"AUMENTAR",IF($N7&lt;0,"REDUZIR","SEM AÇÃO"))))</f>
        <v/>
      </c>
      <c r="P7" s="25">
        <f>IF(COUNTA($A7:$B7,$E7:$G7,$R7)=0,"",IF($S7&lt;&gt;"OK","REVISAR",IF(OR($D7&lt;&gt;"Ativo",$H7&lt;&gt;"Sim"),IF($F7&gt;0,"ALTO","SEM EXPOSIÇÃO"),IF(OR($F7&gt;$M7,SUMIFS($F$6:$F$305,$B$6:$B$305,$B7,$S$6:$S$305,"OK")&gt;$L7),"ALTO",IF(AND($F7&gt;0,$L7&lt;=$K7),"MÉDIO","BAIXO")))))</f>
        <v/>
      </c>
      <c r="Q7" s="25">
        <f>IF(COUNTA($A7:$B7,$E7:$G7,$R7)=0,"",IF($S7&lt;&gt;"OK","REVISAR",IF($O7="SEM AÇÃO","BAIXA",IF(OR($P7="ALTO",ABS($N7)&gt;='Configurações'!$B$3),"URGENTE",IF(OR($P7="MÉDIO",'Configurações'!$B$5-$R7&gt;'Configurações'!$B$4),"ALTA","NORMAL")))))</f>
        <v/>
      </c>
      <c r="R7" s="23" t="n">
        <v>46270</v>
      </c>
      <c r="S7" s="25">
        <f>IF(COUNTA($A7:$B7,$E7:$G7,$R7)=0,"",IF($A7="","ID AUSENTE",IF(COUNTIF($A$6:$A$305,$A7)&gt;1,"ID DUPLICADO",IF($B7="","SKU AUSENTE",IF(COUNTIF('Estoque Central'!$A$6:$A$205,$B7)=0,"SKU NÃO CADASTRADO",IF(IFERROR(VLOOKUP($B7,'Estoque Central'!$A$6:$M$205,13,FALSE),"")&lt;&gt;"OK","ESTOQUE CENTRAL COM PENDÊNCIA",IF($E7="","CANAL AUSENTE",IF(COUNTIF('Configurações'!$A$11:$A$20,$E7)=0,"CANAL NÃO CONFIGURADO",IF(IFERROR(VLOOKUP($E7,'Configurações'!$A$11:$F$20,6,FALSE),"")&lt;&gt;"OK","CANAL COM PENDÊNCIA",IF(COUNTIFS($B$6:$B$305,$B7,$E$6:$E$305,$E7)&gt;1,"SKU/CANAL DUPLICADO",IF(IFERROR(OR(NOT(ISNUMBER($F7)),$F7&lt;0,MOD($F7,1)&lt;&gt;0),TRUE),"SALDO PUBLICADO INVÁLIDO",IF(IFERROR(OR(NOT(ISNUMBER($G7)),$G7&lt;0,MOD($G7,1)&lt;&gt;0),TRUE),"PEDIDOS PENDENTES INVÁLIDOS",IF(IFERROR(OR(NOT(ISNUMBER($R7)),$R7&gt;'Configurações'!$B$5),TRUE),"DATA INVÁLIDA","OK")))))))))))))</f>
        <v/>
      </c>
    </row>
    <row r="8">
      <c r="A8" s="21" t="inlineStr">
        <is>
          <t>PUB-FIC-0003</t>
        </is>
      </c>
      <c r="B8" s="21" t="inlineStr">
        <is>
          <t>FIC-CAD-002</t>
        </is>
      </c>
      <c r="C8" s="27">
        <f>IFERROR(VLOOKUP($B8,'Estoque Central'!$A$6:$M$205,2,FALSE),"")</f>
        <v/>
      </c>
      <c r="D8" s="25">
        <f>IFERROR(VLOOKUP($B8,'Estoque Central'!$A$6:$M$205,3,FALSE),"")</f>
        <v/>
      </c>
      <c r="E8" s="21" t="inlineStr">
        <is>
          <t>Loja própria</t>
        </is>
      </c>
      <c r="F8" s="22" t="n">
        <v>5</v>
      </c>
      <c r="G8" s="22" t="n">
        <v>1</v>
      </c>
      <c r="H8" s="25">
        <f>IFERROR(VLOOKUP($E8,'Configurações'!$A$11:$F$20,2,FALSE),"")</f>
        <v/>
      </c>
      <c r="I8" s="28">
        <f>IFERROR(VLOOKUP($E8,'Configurações'!$A$11:$F$20,3,FALSE),"")</f>
        <v/>
      </c>
      <c r="J8" s="24">
        <f>IFERROR(VLOOKUP($E8,'Configurações'!$A$11:$F$20,4,FALSE),"")</f>
        <v/>
      </c>
      <c r="K8" s="24">
        <f>IFERROR(VLOOKUP($E8,'Configurações'!$A$11:$F$20,5,FALSE),"")</f>
        <v/>
      </c>
      <c r="L8" s="24">
        <f>IFERROR(VLOOKUP($B8,'Estoque Central'!$A$6:$M$205,9,FALSE),"")</f>
        <v/>
      </c>
      <c r="M8" s="24">
        <f>IF(COUNTA($A8:$B8,$E8:$G8,$R8)=0,"",IFERROR(IF(OR($C8="",$H8=""),"",IF(OR($D8&lt;&gt;"Ativo",$H8&lt;&gt;"Sim"),0,MIN(IF($J8="",$L8,$J8),ROUNDDOWN($L8*$I8,0)))),""))</f>
        <v/>
      </c>
      <c r="N8" s="24">
        <f>IF(OR($M8="",NOT(ISNUMBER($F8))),"",$M8-$F8)</f>
        <v/>
      </c>
      <c r="O8" s="25">
        <f>IF(COUNTA($A8:$B8,$E8:$G8,$R8)=0,"",IF($S8&lt;&gt;"OK","REVISAR CADASTRO",IF($N8&gt;0,"AUMENTAR",IF($N8&lt;0,"REDUZIR","SEM AÇÃO"))))</f>
        <v/>
      </c>
      <c r="P8" s="25">
        <f>IF(COUNTA($A8:$B8,$E8:$G8,$R8)=0,"",IF($S8&lt;&gt;"OK","REVISAR",IF(OR($D8&lt;&gt;"Ativo",$H8&lt;&gt;"Sim"),IF($F8&gt;0,"ALTO","SEM EXPOSIÇÃO"),IF(OR($F8&gt;$M8,SUMIFS($F$6:$F$305,$B$6:$B$305,$B8,$S$6:$S$305,"OK")&gt;$L8),"ALTO",IF(AND($F8&gt;0,$L8&lt;=$K8),"MÉDIO","BAIXO")))))</f>
        <v/>
      </c>
      <c r="Q8" s="25">
        <f>IF(COUNTA($A8:$B8,$E8:$G8,$R8)=0,"",IF($S8&lt;&gt;"OK","REVISAR",IF($O8="SEM AÇÃO","BAIXA",IF(OR($P8="ALTO",ABS($N8)&gt;='Configurações'!$B$3),"URGENTE",IF(OR($P8="MÉDIO",'Configurações'!$B$5-$R8&gt;'Configurações'!$B$4),"ALTA","NORMAL")))))</f>
        <v/>
      </c>
      <c r="R8" s="23" t="n">
        <v>46271</v>
      </c>
      <c r="S8" s="25">
        <f>IF(COUNTA($A8:$B8,$E8:$G8,$R8)=0,"",IF($A8="","ID AUSENTE",IF(COUNTIF($A$6:$A$305,$A8)&gt;1,"ID DUPLICADO",IF($B8="","SKU AUSENTE",IF(COUNTIF('Estoque Central'!$A$6:$A$205,$B8)=0,"SKU NÃO CADASTRADO",IF(IFERROR(VLOOKUP($B8,'Estoque Central'!$A$6:$M$205,13,FALSE),"")&lt;&gt;"OK","ESTOQUE CENTRAL COM PENDÊNCIA",IF($E8="","CANAL AUSENTE",IF(COUNTIF('Configurações'!$A$11:$A$20,$E8)=0,"CANAL NÃO CONFIGURADO",IF(IFERROR(VLOOKUP($E8,'Configurações'!$A$11:$F$20,6,FALSE),"")&lt;&gt;"OK","CANAL COM PENDÊNCIA",IF(COUNTIFS($B$6:$B$305,$B8,$E$6:$E$305,$E8)&gt;1,"SKU/CANAL DUPLICADO",IF(IFERROR(OR(NOT(ISNUMBER($F8)),$F8&lt;0,MOD($F8,1)&lt;&gt;0),TRUE),"SALDO PUBLICADO INVÁLIDO",IF(IFERROR(OR(NOT(ISNUMBER($G8)),$G8&lt;0,MOD($G8,1)&lt;&gt;0),TRUE),"PEDIDOS PENDENTES INVÁLIDOS",IF(IFERROR(OR(NOT(ISNUMBER($R8)),$R8&gt;'Configurações'!$B$5),TRUE),"DATA INVÁLIDA","OK")))))))))))))</f>
        <v/>
      </c>
    </row>
    <row r="9">
      <c r="A9" s="21" t="inlineStr">
        <is>
          <t>PUB-FIC-0004</t>
        </is>
      </c>
      <c r="B9" s="21" t="inlineStr">
        <is>
          <t>FIC-CAD-002</t>
        </is>
      </c>
      <c r="C9" s="27">
        <f>IFERROR(VLOOKUP($B9,'Estoque Central'!$A$6:$M$205,2,FALSE),"")</f>
        <v/>
      </c>
      <c r="D9" s="25">
        <f>IFERROR(VLOOKUP($B9,'Estoque Central'!$A$6:$M$205,3,FALSE),"")</f>
        <v/>
      </c>
      <c r="E9" s="21" t="inlineStr">
        <is>
          <t>Shopping Nuvem</t>
        </is>
      </c>
      <c r="F9" s="22" t="n">
        <v>2</v>
      </c>
      <c r="G9" s="22" t="n">
        <v>0</v>
      </c>
      <c r="H9" s="25">
        <f>IFERROR(VLOOKUP($E9,'Configurações'!$A$11:$F$20,2,FALSE),"")</f>
        <v/>
      </c>
      <c r="I9" s="28">
        <f>IFERROR(VLOOKUP($E9,'Configurações'!$A$11:$F$20,3,FALSE),"")</f>
        <v/>
      </c>
      <c r="J9" s="24">
        <f>IFERROR(VLOOKUP($E9,'Configurações'!$A$11:$F$20,4,FALSE),"")</f>
        <v/>
      </c>
      <c r="K9" s="24">
        <f>IFERROR(VLOOKUP($E9,'Configurações'!$A$11:$F$20,5,FALSE),"")</f>
        <v/>
      </c>
      <c r="L9" s="24">
        <f>IFERROR(VLOOKUP($B9,'Estoque Central'!$A$6:$M$205,9,FALSE),"")</f>
        <v/>
      </c>
      <c r="M9" s="24">
        <f>IF(COUNTA($A9:$B9,$E9:$G9,$R9)=0,"",IFERROR(IF(OR($C9="",$H9=""),"",IF(OR($D9&lt;&gt;"Ativo",$H9&lt;&gt;"Sim"),0,MIN(IF($J9="",$L9,$J9),ROUNDDOWN($L9*$I9,0)))),""))</f>
        <v/>
      </c>
      <c r="N9" s="24">
        <f>IF(OR($M9="",NOT(ISNUMBER($F9))),"",$M9-$F9)</f>
        <v/>
      </c>
      <c r="O9" s="25">
        <f>IF(COUNTA($A9:$B9,$E9:$G9,$R9)=0,"",IF($S9&lt;&gt;"OK","REVISAR CADASTRO",IF($N9&gt;0,"AUMENTAR",IF($N9&lt;0,"REDUZIR","SEM AÇÃO"))))</f>
        <v/>
      </c>
      <c r="P9" s="25">
        <f>IF(COUNTA($A9:$B9,$E9:$G9,$R9)=0,"",IF($S9&lt;&gt;"OK","REVISAR",IF(OR($D9&lt;&gt;"Ativo",$H9&lt;&gt;"Sim"),IF($F9&gt;0,"ALTO","SEM EXPOSIÇÃO"),IF(OR($F9&gt;$M9,SUMIFS($F$6:$F$305,$B$6:$B$305,$B9,$S$6:$S$305,"OK")&gt;$L9),"ALTO",IF(AND($F9&gt;0,$L9&lt;=$K9),"MÉDIO","BAIXO")))))</f>
        <v/>
      </c>
      <c r="Q9" s="25">
        <f>IF(COUNTA($A9:$B9,$E9:$G9,$R9)=0,"",IF($S9&lt;&gt;"OK","REVISAR",IF($O9="SEM AÇÃO","BAIXA",IF(OR($P9="ALTO",ABS($N9)&gt;='Configurações'!$B$3),"URGENTE",IF(OR($P9="MÉDIO",'Configurações'!$B$5-$R9&gt;'Configurações'!$B$4),"ALTA","NORMAL")))))</f>
        <v/>
      </c>
      <c r="R9" s="23" t="n">
        <v>46271</v>
      </c>
      <c r="S9" s="25">
        <f>IF(COUNTA($A9:$B9,$E9:$G9,$R9)=0,"",IF($A9="","ID AUSENTE",IF(COUNTIF($A$6:$A$305,$A9)&gt;1,"ID DUPLICADO",IF($B9="","SKU AUSENTE",IF(COUNTIF('Estoque Central'!$A$6:$A$205,$B9)=0,"SKU NÃO CADASTRADO",IF(IFERROR(VLOOKUP($B9,'Estoque Central'!$A$6:$M$205,13,FALSE),"")&lt;&gt;"OK","ESTOQUE CENTRAL COM PENDÊNCIA",IF($E9="","CANAL AUSENTE",IF(COUNTIF('Configurações'!$A$11:$A$20,$E9)=0,"CANAL NÃO CONFIGURADO",IF(IFERROR(VLOOKUP($E9,'Configurações'!$A$11:$F$20,6,FALSE),"")&lt;&gt;"OK","CANAL COM PENDÊNCIA",IF(COUNTIFS($B$6:$B$305,$B9,$E$6:$E$305,$E9)&gt;1,"SKU/CANAL DUPLICADO",IF(IFERROR(OR(NOT(ISNUMBER($F9)),$F9&lt;0,MOD($F9,1)&lt;&gt;0),TRUE),"SALDO PUBLICADO INVÁLIDO",IF(IFERROR(OR(NOT(ISNUMBER($G9)),$G9&lt;0,MOD($G9,1)&lt;&gt;0),TRUE),"PEDIDOS PENDENTES INVÁLIDOS",IF(IFERROR(OR(NOT(ISNUMBER($R9)),$R9&gt;'Configurações'!$B$5),TRUE),"DATA INVÁLIDA","OK")))))))))))))</f>
        <v/>
      </c>
    </row>
    <row r="10">
      <c r="A10" s="21" t="inlineStr">
        <is>
          <t>PUB-FIC-0005</t>
        </is>
      </c>
      <c r="B10" s="21" t="inlineStr">
        <is>
          <t>FIC-ECO-003</t>
        </is>
      </c>
      <c r="C10" s="27">
        <f>IFERROR(VLOOKUP($B10,'Estoque Central'!$A$6:$M$205,2,FALSE),"")</f>
        <v/>
      </c>
      <c r="D10" s="25">
        <f>IFERROR(VLOOKUP($B10,'Estoque Central'!$A$6:$M$205,3,FALSE),"")</f>
        <v/>
      </c>
      <c r="E10" s="21" t="inlineStr">
        <is>
          <t>Mercado Alfa</t>
        </is>
      </c>
      <c r="F10" s="22" t="n">
        <v>4</v>
      </c>
      <c r="G10" s="22" t="n">
        <v>1</v>
      </c>
      <c r="H10" s="25">
        <f>IFERROR(VLOOKUP($E10,'Configurações'!$A$11:$F$20,2,FALSE),"")</f>
        <v/>
      </c>
      <c r="I10" s="28">
        <f>IFERROR(VLOOKUP($E10,'Configurações'!$A$11:$F$20,3,FALSE),"")</f>
        <v/>
      </c>
      <c r="J10" s="24">
        <f>IFERROR(VLOOKUP($E10,'Configurações'!$A$11:$F$20,4,FALSE),"")</f>
        <v/>
      </c>
      <c r="K10" s="24">
        <f>IFERROR(VLOOKUP($E10,'Configurações'!$A$11:$F$20,5,FALSE),"")</f>
        <v/>
      </c>
      <c r="L10" s="24">
        <f>IFERROR(VLOOKUP($B10,'Estoque Central'!$A$6:$M$205,9,FALSE),"")</f>
        <v/>
      </c>
      <c r="M10" s="24">
        <f>IF(COUNTA($A10:$B10,$E10:$G10,$R10)=0,"",IFERROR(IF(OR($C10="",$H10=""),"",IF(OR($D10&lt;&gt;"Ativo",$H10&lt;&gt;"Sim"),0,MIN(IF($J10="",$L10,$J10),ROUNDDOWN($L10*$I10,0)))),""))</f>
        <v/>
      </c>
      <c r="N10" s="24">
        <f>IF(OR($M10="",NOT(ISNUMBER($F10))),"",$M10-$F10)</f>
        <v/>
      </c>
      <c r="O10" s="25">
        <f>IF(COUNTA($A10:$B10,$E10:$G10,$R10)=0,"",IF($S10&lt;&gt;"OK","REVISAR CADASTRO",IF($N10&gt;0,"AUMENTAR",IF($N10&lt;0,"REDUZIR","SEM AÇÃO"))))</f>
        <v/>
      </c>
      <c r="P10" s="25">
        <f>IF(COUNTA($A10:$B10,$E10:$G10,$R10)=0,"",IF($S10&lt;&gt;"OK","REVISAR",IF(OR($D10&lt;&gt;"Ativo",$H10&lt;&gt;"Sim"),IF($F10&gt;0,"ALTO","SEM EXPOSIÇÃO"),IF(OR($F10&gt;$M10,SUMIFS($F$6:$F$305,$B$6:$B$305,$B10,$S$6:$S$305,"OK")&gt;$L10),"ALTO",IF(AND($F10&gt;0,$L10&lt;=$K10),"MÉDIO","BAIXO")))))</f>
        <v/>
      </c>
      <c r="Q10" s="25">
        <f>IF(COUNTA($A10:$B10,$E10:$G10,$R10)=0,"",IF($S10&lt;&gt;"OK","REVISAR",IF($O10="SEM AÇÃO","BAIXA",IF(OR($P10="ALTO",ABS($N10)&gt;='Configurações'!$B$3),"URGENTE",IF(OR($P10="MÉDIO",'Configurações'!$B$5-$R10&gt;'Configurações'!$B$4),"ALTA","NORMAL")))))</f>
        <v/>
      </c>
      <c r="R10" s="23" t="n">
        <v>46269</v>
      </c>
      <c r="S10" s="25">
        <f>IF(COUNTA($A10:$B10,$E10:$G10,$R10)=0,"",IF($A10="","ID AUSENTE",IF(COUNTIF($A$6:$A$305,$A10)&gt;1,"ID DUPLICADO",IF($B10="","SKU AUSENTE",IF(COUNTIF('Estoque Central'!$A$6:$A$205,$B10)=0,"SKU NÃO CADASTRADO",IF(IFERROR(VLOOKUP($B10,'Estoque Central'!$A$6:$M$205,13,FALSE),"")&lt;&gt;"OK","ESTOQUE CENTRAL COM PENDÊNCIA",IF($E10="","CANAL AUSENTE",IF(COUNTIF('Configurações'!$A$11:$A$20,$E10)=0,"CANAL NÃO CONFIGURADO",IF(IFERROR(VLOOKUP($E10,'Configurações'!$A$11:$F$20,6,FALSE),"")&lt;&gt;"OK","CANAL COM PENDÊNCIA",IF(COUNTIFS($B$6:$B$305,$B10,$E$6:$E$305,$E10)&gt;1,"SKU/CANAL DUPLICADO",IF(IFERROR(OR(NOT(ISNUMBER($F10)),$F10&lt;0,MOD($F10,1)&lt;&gt;0),TRUE),"SALDO PUBLICADO INVÁLIDO",IF(IFERROR(OR(NOT(ISNUMBER($G10)),$G10&lt;0,MOD($G10,1)&lt;&gt;0),TRUE),"PEDIDOS PENDENTES INVÁLIDOS",IF(IFERROR(OR(NOT(ISNUMBER($R10)),$R10&gt;'Configurações'!$B$5),TRUE),"DATA INVÁLIDA","OK")))))))))))))</f>
        <v/>
      </c>
    </row>
    <row r="11">
      <c r="A11" s="21" t="inlineStr">
        <is>
          <t>PUB-FIC-0006</t>
        </is>
      </c>
      <c r="B11" s="21" t="inlineStr">
        <is>
          <t>FIC-ECO-003</t>
        </is>
      </c>
      <c r="C11" s="27">
        <f>IFERROR(VLOOKUP($B11,'Estoque Central'!$A$6:$M$205,2,FALSE),"")</f>
        <v/>
      </c>
      <c r="D11" s="25">
        <f>IFERROR(VLOOKUP($B11,'Estoque Central'!$A$6:$M$205,3,FALSE),"")</f>
        <v/>
      </c>
      <c r="E11" s="21" t="inlineStr">
        <is>
          <t>Vitrine Sul</t>
        </is>
      </c>
      <c r="F11" s="22" t="n">
        <v>2</v>
      </c>
      <c r="G11" s="22" t="n">
        <v>0</v>
      </c>
      <c r="H11" s="25">
        <f>IFERROR(VLOOKUP($E11,'Configurações'!$A$11:$F$20,2,FALSE),"")</f>
        <v/>
      </c>
      <c r="I11" s="28">
        <f>IFERROR(VLOOKUP($E11,'Configurações'!$A$11:$F$20,3,FALSE),"")</f>
        <v/>
      </c>
      <c r="J11" s="24">
        <f>IFERROR(VLOOKUP($E11,'Configurações'!$A$11:$F$20,4,FALSE),"")</f>
        <v/>
      </c>
      <c r="K11" s="24">
        <f>IFERROR(VLOOKUP($E11,'Configurações'!$A$11:$F$20,5,FALSE),"")</f>
        <v/>
      </c>
      <c r="L11" s="24">
        <f>IFERROR(VLOOKUP($B11,'Estoque Central'!$A$6:$M$205,9,FALSE),"")</f>
        <v/>
      </c>
      <c r="M11" s="24">
        <f>IF(COUNTA($A11:$B11,$E11:$G11,$R11)=0,"",IFERROR(IF(OR($C11="",$H11=""),"",IF(OR($D11&lt;&gt;"Ativo",$H11&lt;&gt;"Sim"),0,MIN(IF($J11="",$L11,$J11),ROUNDDOWN($L11*$I11,0)))),""))</f>
        <v/>
      </c>
      <c r="N11" s="24">
        <f>IF(OR($M11="",NOT(ISNUMBER($F11))),"",$M11-$F11)</f>
        <v/>
      </c>
      <c r="O11" s="25">
        <f>IF(COUNTA($A11:$B11,$E11:$G11,$R11)=0,"",IF($S11&lt;&gt;"OK","REVISAR CADASTRO",IF($N11&gt;0,"AUMENTAR",IF($N11&lt;0,"REDUZIR","SEM AÇÃO"))))</f>
        <v/>
      </c>
      <c r="P11" s="25">
        <f>IF(COUNTA($A11:$B11,$E11:$G11,$R11)=0,"",IF($S11&lt;&gt;"OK","REVISAR",IF(OR($D11&lt;&gt;"Ativo",$H11&lt;&gt;"Sim"),IF($F11&gt;0,"ALTO","SEM EXPOSIÇÃO"),IF(OR($F11&gt;$M11,SUMIFS($F$6:$F$305,$B$6:$B$305,$B11,$S$6:$S$305,"OK")&gt;$L11),"ALTO",IF(AND($F11&gt;0,$L11&lt;=$K11),"MÉDIO","BAIXO")))))</f>
        <v/>
      </c>
      <c r="Q11" s="25">
        <f>IF(COUNTA($A11:$B11,$E11:$G11,$R11)=0,"",IF($S11&lt;&gt;"OK","REVISAR",IF($O11="SEM AÇÃO","BAIXA",IF(OR($P11="ALTO",ABS($N11)&gt;='Configurações'!$B$3),"URGENTE",IF(OR($P11="MÉDIO",'Configurações'!$B$5-$R11&gt;'Configurações'!$B$4),"ALTA","NORMAL")))))</f>
        <v/>
      </c>
      <c r="R11" s="23" t="n">
        <v>46269</v>
      </c>
      <c r="S11" s="25">
        <f>IF(COUNTA($A11:$B11,$E11:$G11,$R11)=0,"",IF($A11="","ID AUSENTE",IF(COUNTIF($A$6:$A$305,$A11)&gt;1,"ID DUPLICADO",IF($B11="","SKU AUSENTE",IF(COUNTIF('Estoque Central'!$A$6:$A$205,$B11)=0,"SKU NÃO CADASTRADO",IF(IFERROR(VLOOKUP($B11,'Estoque Central'!$A$6:$M$205,13,FALSE),"")&lt;&gt;"OK","ESTOQUE CENTRAL COM PENDÊNCIA",IF($E11="","CANAL AUSENTE",IF(COUNTIF('Configurações'!$A$11:$A$20,$E11)=0,"CANAL NÃO CONFIGURADO",IF(IFERROR(VLOOKUP($E11,'Configurações'!$A$11:$F$20,6,FALSE),"")&lt;&gt;"OK","CANAL COM PENDÊNCIA",IF(COUNTIFS($B$6:$B$305,$B11,$E$6:$E$305,$E11)&gt;1,"SKU/CANAL DUPLICADO",IF(IFERROR(OR(NOT(ISNUMBER($F11)),$F11&lt;0,MOD($F11,1)&lt;&gt;0),TRUE),"SALDO PUBLICADO INVÁLIDO",IF(IFERROR(OR(NOT(ISNUMBER($G11)),$G11&lt;0,MOD($G11,1)&lt;&gt;0),TRUE),"PEDIDOS PENDENTES INVÁLIDOS",IF(IFERROR(OR(NOT(ISNUMBER($R11)),$R11&gt;'Configurações'!$B$5),TRUE),"DATA INVÁLIDA","OK")))))))))))))</f>
        <v/>
      </c>
    </row>
    <row r="12">
      <c r="A12" s="21" t="inlineStr">
        <is>
          <t>PUB-FIC-0007</t>
        </is>
      </c>
      <c r="B12" s="21" t="inlineStr">
        <is>
          <t>FIC-LUM-004</t>
        </is>
      </c>
      <c r="C12" s="27">
        <f>IFERROR(VLOOKUP($B12,'Estoque Central'!$A$6:$M$205,2,FALSE),"")</f>
        <v/>
      </c>
      <c r="D12" s="25">
        <f>IFERROR(VLOOKUP($B12,'Estoque Central'!$A$6:$M$205,3,FALSE),"")</f>
        <v/>
      </c>
      <c r="E12" s="21" t="inlineStr">
        <is>
          <t>Loja própria</t>
        </is>
      </c>
      <c r="F12" s="22" t="n">
        <v>1</v>
      </c>
      <c r="G12" s="22" t="n">
        <v>0</v>
      </c>
      <c r="H12" s="25">
        <f>IFERROR(VLOOKUP($E12,'Configurações'!$A$11:$F$20,2,FALSE),"")</f>
        <v/>
      </c>
      <c r="I12" s="28">
        <f>IFERROR(VLOOKUP($E12,'Configurações'!$A$11:$F$20,3,FALSE),"")</f>
        <v/>
      </c>
      <c r="J12" s="24">
        <f>IFERROR(VLOOKUP($E12,'Configurações'!$A$11:$F$20,4,FALSE),"")</f>
        <v/>
      </c>
      <c r="K12" s="24">
        <f>IFERROR(VLOOKUP($E12,'Configurações'!$A$11:$F$20,5,FALSE),"")</f>
        <v/>
      </c>
      <c r="L12" s="24">
        <f>IFERROR(VLOOKUP($B12,'Estoque Central'!$A$6:$M$205,9,FALSE),"")</f>
        <v/>
      </c>
      <c r="M12" s="24">
        <f>IF(COUNTA($A12:$B12,$E12:$G12,$R12)=0,"",IFERROR(IF(OR($C12="",$H12=""),"",IF(OR($D12&lt;&gt;"Ativo",$H12&lt;&gt;"Sim"),0,MIN(IF($J12="",$L12,$J12),ROUNDDOWN($L12*$I12,0)))),""))</f>
        <v/>
      </c>
      <c r="N12" s="24">
        <f>IF(OR($M12="",NOT(ISNUMBER($F12))),"",$M12-$F12)</f>
        <v/>
      </c>
      <c r="O12" s="25">
        <f>IF(COUNTA($A12:$B12,$E12:$G12,$R12)=0,"",IF($S12&lt;&gt;"OK","REVISAR CADASTRO",IF($N12&gt;0,"AUMENTAR",IF($N12&lt;0,"REDUZIR","SEM AÇÃO"))))</f>
        <v/>
      </c>
      <c r="P12" s="25">
        <f>IF(COUNTA($A12:$B12,$E12:$G12,$R12)=0,"",IF($S12&lt;&gt;"OK","REVISAR",IF(OR($D12&lt;&gt;"Ativo",$H12&lt;&gt;"Sim"),IF($F12&gt;0,"ALTO","SEM EXPOSIÇÃO"),IF(OR($F12&gt;$M12,SUMIFS($F$6:$F$305,$B$6:$B$305,$B12,$S$6:$S$305,"OK")&gt;$L12),"ALTO",IF(AND($F12&gt;0,$L12&lt;=$K12),"MÉDIO","BAIXO")))))</f>
        <v/>
      </c>
      <c r="Q12" s="25">
        <f>IF(COUNTA($A12:$B12,$E12:$G12,$R12)=0,"",IF($S12&lt;&gt;"OK","REVISAR",IF($O12="SEM AÇÃO","BAIXA",IF(OR($P12="ALTO",ABS($N12)&gt;='Configurações'!$B$3),"URGENTE",IF(OR($P12="MÉDIO",'Configurações'!$B$5-$R12&gt;'Configurações'!$B$4),"ALTA","NORMAL")))))</f>
        <v/>
      </c>
      <c r="R12" s="23" t="n">
        <v>46271</v>
      </c>
      <c r="S12" s="25">
        <f>IF(COUNTA($A12:$B12,$E12:$G12,$R12)=0,"",IF($A12="","ID AUSENTE",IF(COUNTIF($A$6:$A$305,$A12)&gt;1,"ID DUPLICADO",IF($B12="","SKU AUSENTE",IF(COUNTIF('Estoque Central'!$A$6:$A$205,$B12)=0,"SKU NÃO CADASTRADO",IF(IFERROR(VLOOKUP($B12,'Estoque Central'!$A$6:$M$205,13,FALSE),"")&lt;&gt;"OK","ESTOQUE CENTRAL COM PENDÊNCIA",IF($E12="","CANAL AUSENTE",IF(COUNTIF('Configurações'!$A$11:$A$20,$E12)=0,"CANAL NÃO CONFIGURADO",IF(IFERROR(VLOOKUP($E12,'Configurações'!$A$11:$F$20,6,FALSE),"")&lt;&gt;"OK","CANAL COM PENDÊNCIA",IF(COUNTIFS($B$6:$B$305,$B12,$E$6:$E$305,$E12)&gt;1,"SKU/CANAL DUPLICADO",IF(IFERROR(OR(NOT(ISNUMBER($F12)),$F12&lt;0,MOD($F12,1)&lt;&gt;0),TRUE),"SALDO PUBLICADO INVÁLIDO",IF(IFERROR(OR(NOT(ISNUMBER($G12)),$G12&lt;0,MOD($G12,1)&lt;&gt;0),TRUE),"PEDIDOS PENDENTES INVÁLIDOS",IF(IFERROR(OR(NOT(ISNUMBER($R12)),$R12&gt;'Configurações'!$B$5),TRUE),"DATA INVÁLIDA","OK")))))))))))))</f>
        <v/>
      </c>
    </row>
    <row r="13">
      <c r="A13" s="21" t="inlineStr">
        <is>
          <t>PUB-FIC-0008</t>
        </is>
      </c>
      <c r="B13" s="21" t="inlineStr">
        <is>
          <t>FIC-ORG-005</t>
        </is>
      </c>
      <c r="C13" s="27">
        <f>IFERROR(VLOOKUP($B13,'Estoque Central'!$A$6:$M$205,2,FALSE),"")</f>
        <v/>
      </c>
      <c r="D13" s="25">
        <f>IFERROR(VLOOKUP($B13,'Estoque Central'!$A$6:$M$205,3,FALSE),"")</f>
        <v/>
      </c>
      <c r="E13" s="21" t="inlineStr">
        <is>
          <t>Shopping Nuvem</t>
        </is>
      </c>
      <c r="F13" s="22" t="n">
        <v>2</v>
      </c>
      <c r="G13" s="22" t="n">
        <v>3</v>
      </c>
      <c r="H13" s="25">
        <f>IFERROR(VLOOKUP($E13,'Configurações'!$A$11:$F$20,2,FALSE),"")</f>
        <v/>
      </c>
      <c r="I13" s="28">
        <f>IFERROR(VLOOKUP($E13,'Configurações'!$A$11:$F$20,3,FALSE),"")</f>
        <v/>
      </c>
      <c r="J13" s="24">
        <f>IFERROR(VLOOKUP($E13,'Configurações'!$A$11:$F$20,4,FALSE),"")</f>
        <v/>
      </c>
      <c r="K13" s="24">
        <f>IFERROR(VLOOKUP($E13,'Configurações'!$A$11:$F$20,5,FALSE),"")</f>
        <v/>
      </c>
      <c r="L13" s="24">
        <f>IFERROR(VLOOKUP($B13,'Estoque Central'!$A$6:$M$205,9,FALSE),"")</f>
        <v/>
      </c>
      <c r="M13" s="24">
        <f>IF(COUNTA($A13:$B13,$E13:$G13,$R13)=0,"",IFERROR(IF(OR($C13="",$H13=""),"",IF(OR($D13&lt;&gt;"Ativo",$H13&lt;&gt;"Sim"),0,MIN(IF($J13="",$L13,$J13),ROUNDDOWN($L13*$I13,0)))),""))</f>
        <v/>
      </c>
      <c r="N13" s="24">
        <f>IF(OR($M13="",NOT(ISNUMBER($F13))),"",$M13-$F13)</f>
        <v/>
      </c>
      <c r="O13" s="25">
        <f>IF(COUNTA($A13:$B13,$E13:$G13,$R13)=0,"",IF($S13&lt;&gt;"OK","REVISAR CADASTRO",IF($N13&gt;0,"AUMENTAR",IF($N13&lt;0,"REDUZIR","SEM AÇÃO"))))</f>
        <v/>
      </c>
      <c r="P13" s="25">
        <f>IF(COUNTA($A13:$B13,$E13:$G13,$R13)=0,"",IF($S13&lt;&gt;"OK","REVISAR",IF(OR($D13&lt;&gt;"Ativo",$H13&lt;&gt;"Sim"),IF($F13&gt;0,"ALTO","SEM EXPOSIÇÃO"),IF(OR($F13&gt;$M13,SUMIFS($F$6:$F$305,$B$6:$B$305,$B13,$S$6:$S$305,"OK")&gt;$L13),"ALTO",IF(AND($F13&gt;0,$L13&lt;=$K13),"MÉDIO","BAIXO")))))</f>
        <v/>
      </c>
      <c r="Q13" s="25">
        <f>IF(COUNTA($A13:$B13,$E13:$G13,$R13)=0,"",IF($S13&lt;&gt;"OK","REVISAR",IF($O13="SEM AÇÃO","BAIXA",IF(OR($P13="ALTO",ABS($N13)&gt;='Configurações'!$B$3),"URGENTE",IF(OR($P13="MÉDIO",'Configurações'!$B$5-$R13&gt;'Configurações'!$B$4),"ALTA","NORMAL")))))</f>
        <v/>
      </c>
      <c r="R13" s="23" t="n">
        <v>46268</v>
      </c>
      <c r="S13" s="25">
        <f>IF(COUNTA($A13:$B13,$E13:$G13,$R13)=0,"",IF($A13="","ID AUSENTE",IF(COUNTIF($A$6:$A$305,$A13)&gt;1,"ID DUPLICADO",IF($B13="","SKU AUSENTE",IF(COUNTIF('Estoque Central'!$A$6:$A$205,$B13)=0,"SKU NÃO CADASTRADO",IF(IFERROR(VLOOKUP($B13,'Estoque Central'!$A$6:$M$205,13,FALSE),"")&lt;&gt;"OK","ESTOQUE CENTRAL COM PENDÊNCIA",IF($E13="","CANAL AUSENTE",IF(COUNTIF('Configurações'!$A$11:$A$20,$E13)=0,"CANAL NÃO CONFIGURADO",IF(IFERROR(VLOOKUP($E13,'Configurações'!$A$11:$F$20,6,FALSE),"")&lt;&gt;"OK","CANAL COM PENDÊNCIA",IF(COUNTIFS($B$6:$B$305,$B13,$E$6:$E$305,$E13)&gt;1,"SKU/CANAL DUPLICADO",IF(IFERROR(OR(NOT(ISNUMBER($F13)),$F13&lt;0,MOD($F13,1)&lt;&gt;0),TRUE),"SALDO PUBLICADO INVÁLIDO",IF(IFERROR(OR(NOT(ISNUMBER($G13)),$G13&lt;0,MOD($G13,1)&lt;&gt;0),TRUE),"PEDIDOS PENDENTES INVÁLIDOS",IF(IFERROR(OR(NOT(ISNUMBER($R13)),$R13&gt;'Configurações'!$B$5),TRUE),"DATA INVÁLIDA","OK")))))))))))))</f>
        <v/>
      </c>
    </row>
    <row r="14">
      <c r="A14" s="21" t="inlineStr">
        <is>
          <t>PUB-FIC-0009</t>
        </is>
      </c>
      <c r="B14" s="21" t="inlineStr">
        <is>
          <t>FIC-GAR-006</t>
        </is>
      </c>
      <c r="C14" s="27">
        <f>IFERROR(VLOOKUP($B14,'Estoque Central'!$A$6:$M$205,2,FALSE),"")</f>
        <v/>
      </c>
      <c r="D14" s="25">
        <f>IFERROR(VLOOKUP($B14,'Estoque Central'!$A$6:$M$205,3,FALSE),"")</f>
        <v/>
      </c>
      <c r="E14" s="21" t="inlineStr">
        <is>
          <t>Mercado Alfa</t>
        </is>
      </c>
      <c r="F14" s="22" t="n">
        <v>3</v>
      </c>
      <c r="G14" s="22" t="n">
        <v>1</v>
      </c>
      <c r="H14" s="25">
        <f>IFERROR(VLOOKUP($E14,'Configurações'!$A$11:$F$20,2,FALSE),"")</f>
        <v/>
      </c>
      <c r="I14" s="28">
        <f>IFERROR(VLOOKUP($E14,'Configurações'!$A$11:$F$20,3,FALSE),"")</f>
        <v/>
      </c>
      <c r="J14" s="24">
        <f>IFERROR(VLOOKUP($E14,'Configurações'!$A$11:$F$20,4,FALSE),"")</f>
        <v/>
      </c>
      <c r="K14" s="24">
        <f>IFERROR(VLOOKUP($E14,'Configurações'!$A$11:$F$20,5,FALSE),"")</f>
        <v/>
      </c>
      <c r="L14" s="24">
        <f>IFERROR(VLOOKUP($B14,'Estoque Central'!$A$6:$M$205,9,FALSE),"")</f>
        <v/>
      </c>
      <c r="M14" s="24">
        <f>IF(COUNTA($A14:$B14,$E14:$G14,$R14)=0,"",IFERROR(IF(OR($C14="",$H14=""),"",IF(OR($D14&lt;&gt;"Ativo",$H14&lt;&gt;"Sim"),0,MIN(IF($J14="",$L14,$J14),ROUNDDOWN($L14*$I14,0)))),""))</f>
        <v/>
      </c>
      <c r="N14" s="24">
        <f>IF(OR($M14="",NOT(ISNUMBER($F14))),"",$M14-$F14)</f>
        <v/>
      </c>
      <c r="O14" s="25">
        <f>IF(COUNTA($A14:$B14,$E14:$G14,$R14)=0,"",IF($S14&lt;&gt;"OK","REVISAR CADASTRO",IF($N14&gt;0,"AUMENTAR",IF($N14&lt;0,"REDUZIR","SEM AÇÃO"))))</f>
        <v/>
      </c>
      <c r="P14" s="25">
        <f>IF(COUNTA($A14:$B14,$E14:$G14,$R14)=0,"",IF($S14&lt;&gt;"OK","REVISAR",IF(OR($D14&lt;&gt;"Ativo",$H14&lt;&gt;"Sim"),IF($F14&gt;0,"ALTO","SEM EXPOSIÇÃO"),IF(OR($F14&gt;$M14,SUMIFS($F$6:$F$305,$B$6:$B$305,$B14,$S$6:$S$305,"OK")&gt;$L14),"ALTO",IF(AND($F14&gt;0,$L14&lt;=$K14),"MÉDIO","BAIXO")))))</f>
        <v/>
      </c>
      <c r="Q14" s="25">
        <f>IF(COUNTA($A14:$B14,$E14:$G14,$R14)=0,"",IF($S14&lt;&gt;"OK","REVISAR",IF($O14="SEM AÇÃO","BAIXA",IF(OR($P14="ALTO",ABS($N14)&gt;='Configurações'!$B$3),"URGENTE",IF(OR($P14="MÉDIO",'Configurações'!$B$5-$R14&gt;'Configurações'!$B$4),"ALTA","NORMAL")))))</f>
        <v/>
      </c>
      <c r="R14" s="23" t="n">
        <v>46270</v>
      </c>
      <c r="S14" s="25">
        <f>IF(COUNTA($A14:$B14,$E14:$G14,$R14)=0,"",IF($A14="","ID AUSENTE",IF(COUNTIF($A$6:$A$305,$A14)&gt;1,"ID DUPLICADO",IF($B14="","SKU AUSENTE",IF(COUNTIF('Estoque Central'!$A$6:$A$205,$B14)=0,"SKU NÃO CADASTRADO",IF(IFERROR(VLOOKUP($B14,'Estoque Central'!$A$6:$M$205,13,FALSE),"")&lt;&gt;"OK","ESTOQUE CENTRAL COM PENDÊNCIA",IF($E14="","CANAL AUSENTE",IF(COUNTIF('Configurações'!$A$11:$A$20,$E14)=0,"CANAL NÃO CONFIGURADO",IF(IFERROR(VLOOKUP($E14,'Configurações'!$A$11:$F$20,6,FALSE),"")&lt;&gt;"OK","CANAL COM PENDÊNCIA",IF(COUNTIFS($B$6:$B$305,$B14,$E$6:$E$305,$E14)&gt;1,"SKU/CANAL DUPLICADO",IF(IFERROR(OR(NOT(ISNUMBER($F14)),$F14&lt;0,MOD($F14,1)&lt;&gt;0),TRUE),"SALDO PUBLICADO INVÁLIDO",IF(IFERROR(OR(NOT(ISNUMBER($G14)),$G14&lt;0,MOD($G14,1)&lt;&gt;0),TRUE),"PEDIDOS PENDENTES INVÁLIDOS",IF(IFERROR(OR(NOT(ISNUMBER($R14)),$R14&gt;'Configurações'!$B$5),TRUE),"DATA INVÁLIDA","OK")))))))))))))</f>
        <v/>
      </c>
    </row>
    <row r="15">
      <c r="A15" s="21" t="inlineStr">
        <is>
          <t>PUB-FIC-0010</t>
        </is>
      </c>
      <c r="B15" s="21" t="inlineStr">
        <is>
          <t>FIC-KIT-008</t>
        </is>
      </c>
      <c r="C15" s="27">
        <f>IFERROR(VLOOKUP($B15,'Estoque Central'!$A$6:$M$205,2,FALSE),"")</f>
        <v/>
      </c>
      <c r="D15" s="25">
        <f>IFERROR(VLOOKUP($B15,'Estoque Central'!$A$6:$M$205,3,FALSE),"")</f>
        <v/>
      </c>
      <c r="E15" s="21" t="inlineStr">
        <is>
          <t>Loja própria</t>
        </is>
      </c>
      <c r="F15" s="22" t="n">
        <v>8</v>
      </c>
      <c r="G15" s="22" t="n">
        <v>2</v>
      </c>
      <c r="H15" s="25">
        <f>IFERROR(VLOOKUP($E15,'Configurações'!$A$11:$F$20,2,FALSE),"")</f>
        <v/>
      </c>
      <c r="I15" s="28">
        <f>IFERROR(VLOOKUP($E15,'Configurações'!$A$11:$F$20,3,FALSE),"")</f>
        <v/>
      </c>
      <c r="J15" s="24">
        <f>IFERROR(VLOOKUP($E15,'Configurações'!$A$11:$F$20,4,FALSE),"")</f>
        <v/>
      </c>
      <c r="K15" s="24">
        <f>IFERROR(VLOOKUP($E15,'Configurações'!$A$11:$F$20,5,FALSE),"")</f>
        <v/>
      </c>
      <c r="L15" s="24">
        <f>IFERROR(VLOOKUP($B15,'Estoque Central'!$A$6:$M$205,9,FALSE),"")</f>
        <v/>
      </c>
      <c r="M15" s="24">
        <f>IF(COUNTA($A15:$B15,$E15:$G15,$R15)=0,"",IFERROR(IF(OR($C15="",$H15=""),"",IF(OR($D15&lt;&gt;"Ativo",$H15&lt;&gt;"Sim"),0,MIN(IF($J15="",$L15,$J15),ROUNDDOWN($L15*$I15,0)))),""))</f>
        <v/>
      </c>
      <c r="N15" s="24">
        <f>IF(OR($M15="",NOT(ISNUMBER($F15))),"",$M15-$F15)</f>
        <v/>
      </c>
      <c r="O15" s="25">
        <f>IF(COUNTA($A15:$B15,$E15:$G15,$R15)=0,"",IF($S15&lt;&gt;"OK","REVISAR CADASTRO",IF($N15&gt;0,"AUMENTAR",IF($N15&lt;0,"REDUZIR","SEM AÇÃO"))))</f>
        <v/>
      </c>
      <c r="P15" s="25">
        <f>IF(COUNTA($A15:$B15,$E15:$G15,$R15)=0,"",IF($S15&lt;&gt;"OK","REVISAR",IF(OR($D15&lt;&gt;"Ativo",$H15&lt;&gt;"Sim"),IF($F15&gt;0,"ALTO","SEM EXPOSIÇÃO"),IF(OR($F15&gt;$M15,SUMIFS($F$6:$F$305,$B$6:$B$305,$B15,$S$6:$S$305,"OK")&gt;$L15),"ALTO",IF(AND($F15&gt;0,$L15&lt;=$K15),"MÉDIO","BAIXO")))))</f>
        <v/>
      </c>
      <c r="Q15" s="25">
        <f>IF(COUNTA($A15:$B15,$E15:$G15,$R15)=0,"",IF($S15&lt;&gt;"OK","REVISAR",IF($O15="SEM AÇÃO","BAIXA",IF(OR($P15="ALTO",ABS($N15)&gt;='Configurações'!$B$3),"URGENTE",IF(OR($P15="MÉDIO",'Configurações'!$B$5-$R15&gt;'Configurações'!$B$4),"ALTA","NORMAL")))))</f>
        <v/>
      </c>
      <c r="R15" s="23" t="n">
        <v>46270</v>
      </c>
      <c r="S15" s="25">
        <f>IF(COUNTA($A15:$B15,$E15:$G15,$R15)=0,"",IF($A15="","ID AUSENTE",IF(COUNTIF($A$6:$A$305,$A15)&gt;1,"ID DUPLICADO",IF($B15="","SKU AUSENTE",IF(COUNTIF('Estoque Central'!$A$6:$A$205,$B15)=0,"SKU NÃO CADASTRADO",IF(IFERROR(VLOOKUP($B15,'Estoque Central'!$A$6:$M$205,13,FALSE),"")&lt;&gt;"OK","ESTOQUE CENTRAL COM PENDÊNCIA",IF($E15="","CANAL AUSENTE",IF(COUNTIF('Configurações'!$A$11:$A$20,$E15)=0,"CANAL NÃO CONFIGURADO",IF(IFERROR(VLOOKUP($E15,'Configurações'!$A$11:$F$20,6,FALSE),"")&lt;&gt;"OK","CANAL COM PENDÊNCIA",IF(COUNTIFS($B$6:$B$305,$B15,$E$6:$E$305,$E15)&gt;1,"SKU/CANAL DUPLICADO",IF(IFERROR(OR(NOT(ISNUMBER($F15)),$F15&lt;0,MOD($F15,1)&lt;&gt;0),TRUE),"SALDO PUBLICADO INVÁLIDO",IF(IFERROR(OR(NOT(ISNUMBER($G15)),$G15&lt;0,MOD($G15,1)&lt;&gt;0),TRUE),"PEDIDOS PENDENTES INVÁLIDOS",IF(IFERROR(OR(NOT(ISNUMBER($R15)),$R15&gt;'Configurações'!$B$5),TRUE),"DATA INVÁLIDA","OK")))))))))))))</f>
        <v/>
      </c>
    </row>
    <row r="16">
      <c r="A16" s="21" t="inlineStr">
        <is>
          <t>PUB-FIC-0011</t>
        </is>
      </c>
      <c r="B16" s="21" t="inlineStr">
        <is>
          <t>FIC-KIT-008</t>
        </is>
      </c>
      <c r="C16" s="27">
        <f>IFERROR(VLOOKUP($B16,'Estoque Central'!$A$6:$M$205,2,FALSE),"")</f>
        <v/>
      </c>
      <c r="D16" s="25">
        <f>IFERROR(VLOOKUP($B16,'Estoque Central'!$A$6:$M$205,3,FALSE),"")</f>
        <v/>
      </c>
      <c r="E16" s="21" t="inlineStr">
        <is>
          <t>Mercado Alfa</t>
        </is>
      </c>
      <c r="F16" s="22" t="n">
        <v>7</v>
      </c>
      <c r="G16" s="22" t="n">
        <v>1</v>
      </c>
      <c r="H16" s="25">
        <f>IFERROR(VLOOKUP($E16,'Configurações'!$A$11:$F$20,2,FALSE),"")</f>
        <v/>
      </c>
      <c r="I16" s="28">
        <f>IFERROR(VLOOKUP($E16,'Configurações'!$A$11:$F$20,3,FALSE),"")</f>
        <v/>
      </c>
      <c r="J16" s="24">
        <f>IFERROR(VLOOKUP($E16,'Configurações'!$A$11:$F$20,4,FALSE),"")</f>
        <v/>
      </c>
      <c r="K16" s="24">
        <f>IFERROR(VLOOKUP($E16,'Configurações'!$A$11:$F$20,5,FALSE),"")</f>
        <v/>
      </c>
      <c r="L16" s="24">
        <f>IFERROR(VLOOKUP($B16,'Estoque Central'!$A$6:$M$205,9,FALSE),"")</f>
        <v/>
      </c>
      <c r="M16" s="24">
        <f>IF(COUNTA($A16:$B16,$E16:$G16,$R16)=0,"",IFERROR(IF(OR($C16="",$H16=""),"",IF(OR($D16&lt;&gt;"Ativo",$H16&lt;&gt;"Sim"),0,MIN(IF($J16="",$L16,$J16),ROUNDDOWN($L16*$I16,0)))),""))</f>
        <v/>
      </c>
      <c r="N16" s="24">
        <f>IF(OR($M16="",NOT(ISNUMBER($F16))),"",$M16-$F16)</f>
        <v/>
      </c>
      <c r="O16" s="25">
        <f>IF(COUNTA($A16:$B16,$E16:$G16,$R16)=0,"",IF($S16&lt;&gt;"OK","REVISAR CADASTRO",IF($N16&gt;0,"AUMENTAR",IF($N16&lt;0,"REDUZIR","SEM AÇÃO"))))</f>
        <v/>
      </c>
      <c r="P16" s="25">
        <f>IF(COUNTA($A16:$B16,$E16:$G16,$R16)=0,"",IF($S16&lt;&gt;"OK","REVISAR",IF(OR($D16&lt;&gt;"Ativo",$H16&lt;&gt;"Sim"),IF($F16&gt;0,"ALTO","SEM EXPOSIÇÃO"),IF(OR($F16&gt;$M16,SUMIFS($F$6:$F$305,$B$6:$B$305,$B16,$S$6:$S$305,"OK")&gt;$L16),"ALTO",IF(AND($F16&gt;0,$L16&lt;=$K16),"MÉDIO","BAIXO")))))</f>
        <v/>
      </c>
      <c r="Q16" s="25">
        <f>IF(COUNTA($A16:$B16,$E16:$G16,$R16)=0,"",IF($S16&lt;&gt;"OK","REVISAR",IF($O16="SEM AÇÃO","BAIXA",IF(OR($P16="ALTO",ABS($N16)&gt;='Configurações'!$B$3),"URGENTE",IF(OR($P16="MÉDIO",'Configurações'!$B$5-$R16&gt;'Configurações'!$B$4),"ALTA","NORMAL")))))</f>
        <v/>
      </c>
      <c r="R16" s="23" t="n">
        <v>46270</v>
      </c>
      <c r="S16" s="25">
        <f>IF(COUNTA($A16:$B16,$E16:$G16,$R16)=0,"",IF($A16="","ID AUSENTE",IF(COUNTIF($A$6:$A$305,$A16)&gt;1,"ID DUPLICADO",IF($B16="","SKU AUSENTE",IF(COUNTIF('Estoque Central'!$A$6:$A$205,$B16)=0,"SKU NÃO CADASTRADO",IF(IFERROR(VLOOKUP($B16,'Estoque Central'!$A$6:$M$205,13,FALSE),"")&lt;&gt;"OK","ESTOQUE CENTRAL COM PENDÊNCIA",IF($E16="","CANAL AUSENTE",IF(COUNTIF('Configurações'!$A$11:$A$20,$E16)=0,"CANAL NÃO CONFIGURADO",IF(IFERROR(VLOOKUP($E16,'Configurações'!$A$11:$F$20,6,FALSE),"")&lt;&gt;"OK","CANAL COM PENDÊNCIA",IF(COUNTIFS($B$6:$B$305,$B16,$E$6:$E$305,$E16)&gt;1,"SKU/CANAL DUPLICADO",IF(IFERROR(OR(NOT(ISNUMBER($F16)),$F16&lt;0,MOD($F16,1)&lt;&gt;0),TRUE),"SALDO PUBLICADO INVÁLIDO",IF(IFERROR(OR(NOT(ISNUMBER($G16)),$G16&lt;0,MOD($G16,1)&lt;&gt;0),TRUE),"PEDIDOS PENDENTES INVÁLIDOS",IF(IFERROR(OR(NOT(ISNUMBER($R16)),$R16&gt;'Configurações'!$B$5),TRUE),"DATA INVÁLIDA","OK")))))))))))))</f>
        <v/>
      </c>
    </row>
    <row r="17">
      <c r="A17" s="21" t="inlineStr">
        <is>
          <t>PUB-FIC-0012</t>
        </is>
      </c>
      <c r="B17" s="21" t="inlineStr">
        <is>
          <t>FIC-POR-009</t>
        </is>
      </c>
      <c r="C17" s="27">
        <f>IFERROR(VLOOKUP($B17,'Estoque Central'!$A$6:$M$205,2,FALSE),"")</f>
        <v/>
      </c>
      <c r="D17" s="25">
        <f>IFERROR(VLOOKUP($B17,'Estoque Central'!$A$6:$M$205,3,FALSE),"")</f>
        <v/>
      </c>
      <c r="E17" s="21" t="inlineStr">
        <is>
          <t>Vitrine Sul</t>
        </is>
      </c>
      <c r="F17" s="22" t="n">
        <v>3</v>
      </c>
      <c r="G17" s="22" t="n">
        <v>0</v>
      </c>
      <c r="H17" s="25">
        <f>IFERROR(VLOOKUP($E17,'Configurações'!$A$11:$F$20,2,FALSE),"")</f>
        <v/>
      </c>
      <c r="I17" s="28">
        <f>IFERROR(VLOOKUP($E17,'Configurações'!$A$11:$F$20,3,FALSE),"")</f>
        <v/>
      </c>
      <c r="J17" s="24">
        <f>IFERROR(VLOOKUP($E17,'Configurações'!$A$11:$F$20,4,FALSE),"")</f>
        <v/>
      </c>
      <c r="K17" s="24">
        <f>IFERROR(VLOOKUP($E17,'Configurações'!$A$11:$F$20,5,FALSE),"")</f>
        <v/>
      </c>
      <c r="L17" s="24">
        <f>IFERROR(VLOOKUP($B17,'Estoque Central'!$A$6:$M$205,9,FALSE),"")</f>
        <v/>
      </c>
      <c r="M17" s="24">
        <f>IF(COUNTA($A17:$B17,$E17:$G17,$R17)=0,"",IFERROR(IF(OR($C17="",$H17=""),"",IF(OR($D17&lt;&gt;"Ativo",$H17&lt;&gt;"Sim"),0,MIN(IF($J17="",$L17,$J17),ROUNDDOWN($L17*$I17,0)))),""))</f>
        <v/>
      </c>
      <c r="N17" s="24">
        <f>IF(OR($M17="",NOT(ISNUMBER($F17))),"",$M17-$F17)</f>
        <v/>
      </c>
      <c r="O17" s="25">
        <f>IF(COUNTA($A17:$B17,$E17:$G17,$R17)=0,"",IF($S17&lt;&gt;"OK","REVISAR CADASTRO",IF($N17&gt;0,"AUMENTAR",IF($N17&lt;0,"REDUZIR","SEM AÇÃO"))))</f>
        <v/>
      </c>
      <c r="P17" s="25">
        <f>IF(COUNTA($A17:$B17,$E17:$G17,$R17)=0,"",IF($S17&lt;&gt;"OK","REVISAR",IF(OR($D17&lt;&gt;"Ativo",$H17&lt;&gt;"Sim"),IF($F17&gt;0,"ALTO","SEM EXPOSIÇÃO"),IF(OR($F17&gt;$M17,SUMIFS($F$6:$F$305,$B$6:$B$305,$B17,$S$6:$S$305,"OK")&gt;$L17),"ALTO",IF(AND($F17&gt;0,$L17&lt;=$K17),"MÉDIO","BAIXO")))))</f>
        <v/>
      </c>
      <c r="Q17" s="25">
        <f>IF(COUNTA($A17:$B17,$E17:$G17,$R17)=0,"",IF($S17&lt;&gt;"OK","REVISAR",IF($O17="SEM AÇÃO","BAIXA",IF(OR($P17="ALTO",ABS($N17)&gt;='Configurações'!$B$3),"URGENTE",IF(OR($P17="MÉDIO",'Configurações'!$B$5-$R17&gt;'Configurações'!$B$4),"ALTA","NORMAL")))))</f>
        <v/>
      </c>
      <c r="R17" s="23" t="n">
        <v>46271</v>
      </c>
      <c r="S17" s="25">
        <f>IF(COUNTA($A17:$B17,$E17:$G17,$R17)=0,"",IF($A17="","ID AUSENTE",IF(COUNTIF($A$6:$A$305,$A17)&gt;1,"ID DUPLICADO",IF($B17="","SKU AUSENTE",IF(COUNTIF('Estoque Central'!$A$6:$A$205,$B17)=0,"SKU NÃO CADASTRADO",IF(IFERROR(VLOOKUP($B17,'Estoque Central'!$A$6:$M$205,13,FALSE),"")&lt;&gt;"OK","ESTOQUE CENTRAL COM PENDÊNCIA",IF($E17="","CANAL AUSENTE",IF(COUNTIF('Configurações'!$A$11:$A$20,$E17)=0,"CANAL NÃO CONFIGURADO",IF(IFERROR(VLOOKUP($E17,'Configurações'!$A$11:$F$20,6,FALSE),"")&lt;&gt;"OK","CANAL COM PENDÊNCIA",IF(COUNTIFS($B$6:$B$305,$B17,$E$6:$E$305,$E17)&gt;1,"SKU/CANAL DUPLICADO",IF(IFERROR(OR(NOT(ISNUMBER($F17)),$F17&lt;0,MOD($F17,1)&lt;&gt;0),TRUE),"SALDO PUBLICADO INVÁLIDO",IF(IFERROR(OR(NOT(ISNUMBER($G17)),$G17&lt;0,MOD($G17,1)&lt;&gt;0),TRUE),"PEDIDOS PENDENTES INVÁLIDOS",IF(IFERROR(OR(NOT(ISNUMBER($R17)),$R17&gt;'Configurações'!$B$5),TRUE),"DATA INVÁLIDA","OK")))))))))))))</f>
        <v/>
      </c>
    </row>
    <row r="18">
      <c r="A18" s="21" t="n"/>
      <c r="B18" s="21" t="n"/>
      <c r="C18" s="27">
        <f>IFERROR(VLOOKUP($B18,'Estoque Central'!$A$6:$M$205,2,FALSE),"")</f>
        <v/>
      </c>
      <c r="D18" s="25">
        <f>IFERROR(VLOOKUP($B18,'Estoque Central'!$A$6:$M$205,3,FALSE),"")</f>
        <v/>
      </c>
      <c r="E18" s="21" t="n"/>
      <c r="F18" s="22" t="n"/>
      <c r="G18" s="22" t="n"/>
      <c r="H18" s="25">
        <f>IFERROR(VLOOKUP($E18,'Configurações'!$A$11:$F$20,2,FALSE),"")</f>
        <v/>
      </c>
      <c r="I18" s="28">
        <f>IFERROR(VLOOKUP($E18,'Configurações'!$A$11:$F$20,3,FALSE),"")</f>
        <v/>
      </c>
      <c r="J18" s="24">
        <f>IFERROR(VLOOKUP($E18,'Configurações'!$A$11:$F$20,4,FALSE),"")</f>
        <v/>
      </c>
      <c r="K18" s="24">
        <f>IFERROR(VLOOKUP($E18,'Configurações'!$A$11:$F$20,5,FALSE),"")</f>
        <v/>
      </c>
      <c r="L18" s="24">
        <f>IFERROR(VLOOKUP($B18,'Estoque Central'!$A$6:$M$205,9,FALSE),"")</f>
        <v/>
      </c>
      <c r="M18" s="24">
        <f>IF(COUNTA($A18:$B18,$E18:$G18,$R18)=0,"",IFERROR(IF(OR($C18="",$H18=""),"",IF(OR($D18&lt;&gt;"Ativo",$H18&lt;&gt;"Sim"),0,MIN(IF($J18="",$L18,$J18),ROUNDDOWN($L18*$I18,0)))),""))</f>
        <v/>
      </c>
      <c r="N18" s="24">
        <f>IF(OR($M18="",NOT(ISNUMBER($F18))),"",$M18-$F18)</f>
        <v/>
      </c>
      <c r="O18" s="25">
        <f>IF(COUNTA($A18:$B18,$E18:$G18,$R18)=0,"",IF($S18&lt;&gt;"OK","REVISAR CADASTRO",IF($N18&gt;0,"AUMENTAR",IF($N18&lt;0,"REDUZIR","SEM AÇÃO"))))</f>
        <v/>
      </c>
      <c r="P18" s="25">
        <f>IF(COUNTA($A18:$B18,$E18:$G18,$R18)=0,"",IF($S18&lt;&gt;"OK","REVISAR",IF(OR($D18&lt;&gt;"Ativo",$H18&lt;&gt;"Sim"),IF($F18&gt;0,"ALTO","SEM EXPOSIÇÃO"),IF(OR($F18&gt;$M18,SUMIFS($F$6:$F$305,$B$6:$B$305,$B18,$S$6:$S$305,"OK")&gt;$L18),"ALTO",IF(AND($F18&gt;0,$L18&lt;=$K18),"MÉDIO","BAIXO")))))</f>
        <v/>
      </c>
      <c r="Q18" s="25">
        <f>IF(COUNTA($A18:$B18,$E18:$G18,$R18)=0,"",IF($S18&lt;&gt;"OK","REVISAR",IF($O18="SEM AÇÃO","BAIXA",IF(OR($P18="ALTO",ABS($N18)&gt;='Configurações'!$B$3),"URGENTE",IF(OR($P18="MÉDIO",'Configurações'!$B$5-$R18&gt;'Configurações'!$B$4),"ALTA","NORMAL")))))</f>
        <v/>
      </c>
      <c r="R18" s="23" t="n"/>
      <c r="S18" s="25">
        <f>IF(COUNTA($A18:$B18,$E18:$G18,$R18)=0,"",IF($A18="","ID AUSENTE",IF(COUNTIF($A$6:$A$305,$A18)&gt;1,"ID DUPLICADO",IF($B18="","SKU AUSENTE",IF(COUNTIF('Estoque Central'!$A$6:$A$205,$B18)=0,"SKU NÃO CADASTRADO",IF(IFERROR(VLOOKUP($B18,'Estoque Central'!$A$6:$M$205,13,FALSE),"")&lt;&gt;"OK","ESTOQUE CENTRAL COM PENDÊNCIA",IF($E18="","CANAL AUSENTE",IF(COUNTIF('Configurações'!$A$11:$A$20,$E18)=0,"CANAL NÃO CONFIGURADO",IF(IFERROR(VLOOKUP($E18,'Configurações'!$A$11:$F$20,6,FALSE),"")&lt;&gt;"OK","CANAL COM PENDÊNCIA",IF(COUNTIFS($B$6:$B$305,$B18,$E$6:$E$305,$E18)&gt;1,"SKU/CANAL DUPLICADO",IF(IFERROR(OR(NOT(ISNUMBER($F18)),$F18&lt;0,MOD($F18,1)&lt;&gt;0),TRUE),"SALDO PUBLICADO INVÁLIDO",IF(IFERROR(OR(NOT(ISNUMBER($G18)),$G18&lt;0,MOD($G18,1)&lt;&gt;0),TRUE),"PEDIDOS PENDENTES INVÁLIDOS",IF(IFERROR(OR(NOT(ISNUMBER($R18)),$R18&gt;'Configurações'!$B$5),TRUE),"DATA INVÁLIDA","OK")))))))))))))</f>
        <v/>
      </c>
    </row>
    <row r="19">
      <c r="A19" s="21" t="n"/>
      <c r="B19" s="21" t="n"/>
      <c r="C19" s="27">
        <f>IFERROR(VLOOKUP($B19,'Estoque Central'!$A$6:$M$205,2,FALSE),"")</f>
        <v/>
      </c>
      <c r="D19" s="25">
        <f>IFERROR(VLOOKUP($B19,'Estoque Central'!$A$6:$M$205,3,FALSE),"")</f>
        <v/>
      </c>
      <c r="E19" s="21" t="n"/>
      <c r="F19" s="22" t="n"/>
      <c r="G19" s="22" t="n"/>
      <c r="H19" s="25">
        <f>IFERROR(VLOOKUP($E19,'Configurações'!$A$11:$F$20,2,FALSE),"")</f>
        <v/>
      </c>
      <c r="I19" s="28">
        <f>IFERROR(VLOOKUP($E19,'Configurações'!$A$11:$F$20,3,FALSE),"")</f>
        <v/>
      </c>
      <c r="J19" s="24">
        <f>IFERROR(VLOOKUP($E19,'Configurações'!$A$11:$F$20,4,FALSE),"")</f>
        <v/>
      </c>
      <c r="K19" s="24">
        <f>IFERROR(VLOOKUP($E19,'Configurações'!$A$11:$F$20,5,FALSE),"")</f>
        <v/>
      </c>
      <c r="L19" s="24">
        <f>IFERROR(VLOOKUP($B19,'Estoque Central'!$A$6:$M$205,9,FALSE),"")</f>
        <v/>
      </c>
      <c r="M19" s="24">
        <f>IF(COUNTA($A19:$B19,$E19:$G19,$R19)=0,"",IFERROR(IF(OR($C19="",$H19=""),"",IF(OR($D19&lt;&gt;"Ativo",$H19&lt;&gt;"Sim"),0,MIN(IF($J19="",$L19,$J19),ROUNDDOWN($L19*$I19,0)))),""))</f>
        <v/>
      </c>
      <c r="N19" s="24">
        <f>IF(OR($M19="",NOT(ISNUMBER($F19))),"",$M19-$F19)</f>
        <v/>
      </c>
      <c r="O19" s="25">
        <f>IF(COUNTA($A19:$B19,$E19:$G19,$R19)=0,"",IF($S19&lt;&gt;"OK","REVISAR CADASTRO",IF($N19&gt;0,"AUMENTAR",IF($N19&lt;0,"REDUZIR","SEM AÇÃO"))))</f>
        <v/>
      </c>
      <c r="P19" s="25">
        <f>IF(COUNTA($A19:$B19,$E19:$G19,$R19)=0,"",IF($S19&lt;&gt;"OK","REVISAR",IF(OR($D19&lt;&gt;"Ativo",$H19&lt;&gt;"Sim"),IF($F19&gt;0,"ALTO","SEM EXPOSIÇÃO"),IF(OR($F19&gt;$M19,SUMIFS($F$6:$F$305,$B$6:$B$305,$B19,$S$6:$S$305,"OK")&gt;$L19),"ALTO",IF(AND($F19&gt;0,$L19&lt;=$K19),"MÉDIO","BAIXO")))))</f>
        <v/>
      </c>
      <c r="Q19" s="25">
        <f>IF(COUNTA($A19:$B19,$E19:$G19,$R19)=0,"",IF($S19&lt;&gt;"OK","REVISAR",IF($O19="SEM AÇÃO","BAIXA",IF(OR($P19="ALTO",ABS($N19)&gt;='Configurações'!$B$3),"URGENTE",IF(OR($P19="MÉDIO",'Configurações'!$B$5-$R19&gt;'Configurações'!$B$4),"ALTA","NORMAL")))))</f>
        <v/>
      </c>
      <c r="R19" s="23" t="n"/>
      <c r="S19" s="25">
        <f>IF(COUNTA($A19:$B19,$E19:$G19,$R19)=0,"",IF($A19="","ID AUSENTE",IF(COUNTIF($A$6:$A$305,$A19)&gt;1,"ID DUPLICADO",IF($B19="","SKU AUSENTE",IF(COUNTIF('Estoque Central'!$A$6:$A$205,$B19)=0,"SKU NÃO CADASTRADO",IF(IFERROR(VLOOKUP($B19,'Estoque Central'!$A$6:$M$205,13,FALSE),"")&lt;&gt;"OK","ESTOQUE CENTRAL COM PENDÊNCIA",IF($E19="","CANAL AUSENTE",IF(COUNTIF('Configurações'!$A$11:$A$20,$E19)=0,"CANAL NÃO CONFIGURADO",IF(IFERROR(VLOOKUP($E19,'Configurações'!$A$11:$F$20,6,FALSE),"")&lt;&gt;"OK","CANAL COM PENDÊNCIA",IF(COUNTIFS($B$6:$B$305,$B19,$E$6:$E$305,$E19)&gt;1,"SKU/CANAL DUPLICADO",IF(IFERROR(OR(NOT(ISNUMBER($F19)),$F19&lt;0,MOD($F19,1)&lt;&gt;0),TRUE),"SALDO PUBLICADO INVÁLIDO",IF(IFERROR(OR(NOT(ISNUMBER($G19)),$G19&lt;0,MOD($G19,1)&lt;&gt;0),TRUE),"PEDIDOS PENDENTES INVÁLIDOS",IF(IFERROR(OR(NOT(ISNUMBER($R19)),$R19&gt;'Configurações'!$B$5),TRUE),"DATA INVÁLIDA","OK")))))))))))))</f>
        <v/>
      </c>
    </row>
    <row r="20">
      <c r="A20" s="21" t="n"/>
      <c r="B20" s="21" t="n"/>
      <c r="C20" s="27">
        <f>IFERROR(VLOOKUP($B20,'Estoque Central'!$A$6:$M$205,2,FALSE),"")</f>
        <v/>
      </c>
      <c r="D20" s="25">
        <f>IFERROR(VLOOKUP($B20,'Estoque Central'!$A$6:$M$205,3,FALSE),"")</f>
        <v/>
      </c>
      <c r="E20" s="21" t="n"/>
      <c r="F20" s="22" t="n"/>
      <c r="G20" s="22" t="n"/>
      <c r="H20" s="25">
        <f>IFERROR(VLOOKUP($E20,'Configurações'!$A$11:$F$20,2,FALSE),"")</f>
        <v/>
      </c>
      <c r="I20" s="28">
        <f>IFERROR(VLOOKUP($E20,'Configurações'!$A$11:$F$20,3,FALSE),"")</f>
        <v/>
      </c>
      <c r="J20" s="24">
        <f>IFERROR(VLOOKUP($E20,'Configurações'!$A$11:$F$20,4,FALSE),"")</f>
        <v/>
      </c>
      <c r="K20" s="24">
        <f>IFERROR(VLOOKUP($E20,'Configurações'!$A$11:$F$20,5,FALSE),"")</f>
        <v/>
      </c>
      <c r="L20" s="24">
        <f>IFERROR(VLOOKUP($B20,'Estoque Central'!$A$6:$M$205,9,FALSE),"")</f>
        <v/>
      </c>
      <c r="M20" s="24">
        <f>IF(COUNTA($A20:$B20,$E20:$G20,$R20)=0,"",IFERROR(IF(OR($C20="",$H20=""),"",IF(OR($D20&lt;&gt;"Ativo",$H20&lt;&gt;"Sim"),0,MIN(IF($J20="",$L20,$J20),ROUNDDOWN($L20*$I20,0)))),""))</f>
        <v/>
      </c>
      <c r="N20" s="24">
        <f>IF(OR($M20="",NOT(ISNUMBER($F20))),"",$M20-$F20)</f>
        <v/>
      </c>
      <c r="O20" s="25">
        <f>IF(COUNTA($A20:$B20,$E20:$G20,$R20)=0,"",IF($S20&lt;&gt;"OK","REVISAR CADASTRO",IF($N20&gt;0,"AUMENTAR",IF($N20&lt;0,"REDUZIR","SEM AÇÃO"))))</f>
        <v/>
      </c>
      <c r="P20" s="25">
        <f>IF(COUNTA($A20:$B20,$E20:$G20,$R20)=0,"",IF($S20&lt;&gt;"OK","REVISAR",IF(OR($D20&lt;&gt;"Ativo",$H20&lt;&gt;"Sim"),IF($F20&gt;0,"ALTO","SEM EXPOSIÇÃO"),IF(OR($F20&gt;$M20,SUMIFS($F$6:$F$305,$B$6:$B$305,$B20,$S$6:$S$305,"OK")&gt;$L20),"ALTO",IF(AND($F20&gt;0,$L20&lt;=$K20),"MÉDIO","BAIXO")))))</f>
        <v/>
      </c>
      <c r="Q20" s="25">
        <f>IF(COUNTA($A20:$B20,$E20:$G20,$R20)=0,"",IF($S20&lt;&gt;"OK","REVISAR",IF($O20="SEM AÇÃO","BAIXA",IF(OR($P20="ALTO",ABS($N20)&gt;='Configurações'!$B$3),"URGENTE",IF(OR($P20="MÉDIO",'Configurações'!$B$5-$R20&gt;'Configurações'!$B$4),"ALTA","NORMAL")))))</f>
        <v/>
      </c>
      <c r="R20" s="23" t="n"/>
      <c r="S20" s="25">
        <f>IF(COUNTA($A20:$B20,$E20:$G20,$R20)=0,"",IF($A20="","ID AUSENTE",IF(COUNTIF($A$6:$A$305,$A20)&gt;1,"ID DUPLICADO",IF($B20="","SKU AUSENTE",IF(COUNTIF('Estoque Central'!$A$6:$A$205,$B20)=0,"SKU NÃO CADASTRADO",IF(IFERROR(VLOOKUP($B20,'Estoque Central'!$A$6:$M$205,13,FALSE),"")&lt;&gt;"OK","ESTOQUE CENTRAL COM PENDÊNCIA",IF($E20="","CANAL AUSENTE",IF(COUNTIF('Configurações'!$A$11:$A$20,$E20)=0,"CANAL NÃO CONFIGURADO",IF(IFERROR(VLOOKUP($E20,'Configurações'!$A$11:$F$20,6,FALSE),"")&lt;&gt;"OK","CANAL COM PENDÊNCIA",IF(COUNTIFS($B$6:$B$305,$B20,$E$6:$E$305,$E20)&gt;1,"SKU/CANAL DUPLICADO",IF(IFERROR(OR(NOT(ISNUMBER($F20)),$F20&lt;0,MOD($F20,1)&lt;&gt;0),TRUE),"SALDO PUBLICADO INVÁLIDO",IF(IFERROR(OR(NOT(ISNUMBER($G20)),$G20&lt;0,MOD($G20,1)&lt;&gt;0),TRUE),"PEDIDOS PENDENTES INVÁLIDOS",IF(IFERROR(OR(NOT(ISNUMBER($R20)),$R20&gt;'Configurações'!$B$5),TRUE),"DATA INVÁLIDA","OK")))))))))))))</f>
        <v/>
      </c>
    </row>
    <row r="21">
      <c r="A21" s="21" t="n"/>
      <c r="B21" s="21" t="n"/>
      <c r="C21" s="27">
        <f>IFERROR(VLOOKUP($B21,'Estoque Central'!$A$6:$M$205,2,FALSE),"")</f>
        <v/>
      </c>
      <c r="D21" s="25">
        <f>IFERROR(VLOOKUP($B21,'Estoque Central'!$A$6:$M$205,3,FALSE),"")</f>
        <v/>
      </c>
      <c r="E21" s="21" t="n"/>
      <c r="F21" s="22" t="n"/>
      <c r="G21" s="22" t="n"/>
      <c r="H21" s="25">
        <f>IFERROR(VLOOKUP($E21,'Configurações'!$A$11:$F$20,2,FALSE),"")</f>
        <v/>
      </c>
      <c r="I21" s="28">
        <f>IFERROR(VLOOKUP($E21,'Configurações'!$A$11:$F$20,3,FALSE),"")</f>
        <v/>
      </c>
      <c r="J21" s="24">
        <f>IFERROR(VLOOKUP($E21,'Configurações'!$A$11:$F$20,4,FALSE),"")</f>
        <v/>
      </c>
      <c r="K21" s="24">
        <f>IFERROR(VLOOKUP($E21,'Configurações'!$A$11:$F$20,5,FALSE),"")</f>
        <v/>
      </c>
      <c r="L21" s="24">
        <f>IFERROR(VLOOKUP($B21,'Estoque Central'!$A$6:$M$205,9,FALSE),"")</f>
        <v/>
      </c>
      <c r="M21" s="24">
        <f>IF(COUNTA($A21:$B21,$E21:$G21,$R21)=0,"",IFERROR(IF(OR($C21="",$H21=""),"",IF(OR($D21&lt;&gt;"Ativo",$H21&lt;&gt;"Sim"),0,MIN(IF($J21="",$L21,$J21),ROUNDDOWN($L21*$I21,0)))),""))</f>
        <v/>
      </c>
      <c r="N21" s="24">
        <f>IF(OR($M21="",NOT(ISNUMBER($F21))),"",$M21-$F21)</f>
        <v/>
      </c>
      <c r="O21" s="25">
        <f>IF(COUNTA($A21:$B21,$E21:$G21,$R21)=0,"",IF($S21&lt;&gt;"OK","REVISAR CADASTRO",IF($N21&gt;0,"AUMENTAR",IF($N21&lt;0,"REDUZIR","SEM AÇÃO"))))</f>
        <v/>
      </c>
      <c r="P21" s="25">
        <f>IF(COUNTA($A21:$B21,$E21:$G21,$R21)=0,"",IF($S21&lt;&gt;"OK","REVISAR",IF(OR($D21&lt;&gt;"Ativo",$H21&lt;&gt;"Sim"),IF($F21&gt;0,"ALTO","SEM EXPOSIÇÃO"),IF(OR($F21&gt;$M21,SUMIFS($F$6:$F$305,$B$6:$B$305,$B21,$S$6:$S$305,"OK")&gt;$L21),"ALTO",IF(AND($F21&gt;0,$L21&lt;=$K21),"MÉDIO","BAIXO")))))</f>
        <v/>
      </c>
      <c r="Q21" s="25">
        <f>IF(COUNTA($A21:$B21,$E21:$G21,$R21)=0,"",IF($S21&lt;&gt;"OK","REVISAR",IF($O21="SEM AÇÃO","BAIXA",IF(OR($P21="ALTO",ABS($N21)&gt;='Configurações'!$B$3),"URGENTE",IF(OR($P21="MÉDIO",'Configurações'!$B$5-$R21&gt;'Configurações'!$B$4),"ALTA","NORMAL")))))</f>
        <v/>
      </c>
      <c r="R21" s="23" t="n"/>
      <c r="S21" s="25">
        <f>IF(COUNTA($A21:$B21,$E21:$G21,$R21)=0,"",IF($A21="","ID AUSENTE",IF(COUNTIF($A$6:$A$305,$A21)&gt;1,"ID DUPLICADO",IF($B21="","SKU AUSENTE",IF(COUNTIF('Estoque Central'!$A$6:$A$205,$B21)=0,"SKU NÃO CADASTRADO",IF(IFERROR(VLOOKUP($B21,'Estoque Central'!$A$6:$M$205,13,FALSE),"")&lt;&gt;"OK","ESTOQUE CENTRAL COM PENDÊNCIA",IF($E21="","CANAL AUSENTE",IF(COUNTIF('Configurações'!$A$11:$A$20,$E21)=0,"CANAL NÃO CONFIGURADO",IF(IFERROR(VLOOKUP($E21,'Configurações'!$A$11:$F$20,6,FALSE),"")&lt;&gt;"OK","CANAL COM PENDÊNCIA",IF(COUNTIFS($B$6:$B$305,$B21,$E$6:$E$305,$E21)&gt;1,"SKU/CANAL DUPLICADO",IF(IFERROR(OR(NOT(ISNUMBER($F21)),$F21&lt;0,MOD($F21,1)&lt;&gt;0),TRUE),"SALDO PUBLICADO INVÁLIDO",IF(IFERROR(OR(NOT(ISNUMBER($G21)),$G21&lt;0,MOD($G21,1)&lt;&gt;0),TRUE),"PEDIDOS PENDENTES INVÁLIDOS",IF(IFERROR(OR(NOT(ISNUMBER($R21)),$R21&gt;'Configurações'!$B$5),TRUE),"DATA INVÁLIDA","OK")))))))))))))</f>
        <v/>
      </c>
    </row>
    <row r="22">
      <c r="A22" s="21" t="n"/>
      <c r="B22" s="21" t="n"/>
      <c r="C22" s="27">
        <f>IFERROR(VLOOKUP($B22,'Estoque Central'!$A$6:$M$205,2,FALSE),"")</f>
        <v/>
      </c>
      <c r="D22" s="25">
        <f>IFERROR(VLOOKUP($B22,'Estoque Central'!$A$6:$M$205,3,FALSE),"")</f>
        <v/>
      </c>
      <c r="E22" s="21" t="n"/>
      <c r="F22" s="22" t="n"/>
      <c r="G22" s="22" t="n"/>
      <c r="H22" s="25">
        <f>IFERROR(VLOOKUP($E22,'Configurações'!$A$11:$F$20,2,FALSE),"")</f>
        <v/>
      </c>
      <c r="I22" s="28">
        <f>IFERROR(VLOOKUP($E22,'Configurações'!$A$11:$F$20,3,FALSE),"")</f>
        <v/>
      </c>
      <c r="J22" s="24">
        <f>IFERROR(VLOOKUP($E22,'Configurações'!$A$11:$F$20,4,FALSE),"")</f>
        <v/>
      </c>
      <c r="K22" s="24">
        <f>IFERROR(VLOOKUP($E22,'Configurações'!$A$11:$F$20,5,FALSE),"")</f>
        <v/>
      </c>
      <c r="L22" s="24">
        <f>IFERROR(VLOOKUP($B22,'Estoque Central'!$A$6:$M$205,9,FALSE),"")</f>
        <v/>
      </c>
      <c r="M22" s="24">
        <f>IF(COUNTA($A22:$B22,$E22:$G22,$R22)=0,"",IFERROR(IF(OR($C22="",$H22=""),"",IF(OR($D22&lt;&gt;"Ativo",$H22&lt;&gt;"Sim"),0,MIN(IF($J22="",$L22,$J22),ROUNDDOWN($L22*$I22,0)))),""))</f>
        <v/>
      </c>
      <c r="N22" s="24">
        <f>IF(OR($M22="",NOT(ISNUMBER($F22))),"",$M22-$F22)</f>
        <v/>
      </c>
      <c r="O22" s="25">
        <f>IF(COUNTA($A22:$B22,$E22:$G22,$R22)=0,"",IF($S22&lt;&gt;"OK","REVISAR CADASTRO",IF($N22&gt;0,"AUMENTAR",IF($N22&lt;0,"REDUZIR","SEM AÇÃO"))))</f>
        <v/>
      </c>
      <c r="P22" s="25">
        <f>IF(COUNTA($A22:$B22,$E22:$G22,$R22)=0,"",IF($S22&lt;&gt;"OK","REVISAR",IF(OR($D22&lt;&gt;"Ativo",$H22&lt;&gt;"Sim"),IF($F22&gt;0,"ALTO","SEM EXPOSIÇÃO"),IF(OR($F22&gt;$M22,SUMIFS($F$6:$F$305,$B$6:$B$305,$B22,$S$6:$S$305,"OK")&gt;$L22),"ALTO",IF(AND($F22&gt;0,$L22&lt;=$K22),"MÉDIO","BAIXO")))))</f>
        <v/>
      </c>
      <c r="Q22" s="25">
        <f>IF(COUNTA($A22:$B22,$E22:$G22,$R22)=0,"",IF($S22&lt;&gt;"OK","REVISAR",IF($O22="SEM AÇÃO","BAIXA",IF(OR($P22="ALTO",ABS($N22)&gt;='Configurações'!$B$3),"URGENTE",IF(OR($P22="MÉDIO",'Configurações'!$B$5-$R22&gt;'Configurações'!$B$4),"ALTA","NORMAL")))))</f>
        <v/>
      </c>
      <c r="R22" s="23" t="n"/>
      <c r="S22" s="25">
        <f>IF(COUNTA($A22:$B22,$E22:$G22,$R22)=0,"",IF($A22="","ID AUSENTE",IF(COUNTIF($A$6:$A$305,$A22)&gt;1,"ID DUPLICADO",IF($B22="","SKU AUSENTE",IF(COUNTIF('Estoque Central'!$A$6:$A$205,$B22)=0,"SKU NÃO CADASTRADO",IF(IFERROR(VLOOKUP($B22,'Estoque Central'!$A$6:$M$205,13,FALSE),"")&lt;&gt;"OK","ESTOQUE CENTRAL COM PENDÊNCIA",IF($E22="","CANAL AUSENTE",IF(COUNTIF('Configurações'!$A$11:$A$20,$E22)=0,"CANAL NÃO CONFIGURADO",IF(IFERROR(VLOOKUP($E22,'Configurações'!$A$11:$F$20,6,FALSE),"")&lt;&gt;"OK","CANAL COM PENDÊNCIA",IF(COUNTIFS($B$6:$B$305,$B22,$E$6:$E$305,$E22)&gt;1,"SKU/CANAL DUPLICADO",IF(IFERROR(OR(NOT(ISNUMBER($F22)),$F22&lt;0,MOD($F22,1)&lt;&gt;0),TRUE),"SALDO PUBLICADO INVÁLIDO",IF(IFERROR(OR(NOT(ISNUMBER($G22)),$G22&lt;0,MOD($G22,1)&lt;&gt;0),TRUE),"PEDIDOS PENDENTES INVÁLIDOS",IF(IFERROR(OR(NOT(ISNUMBER($R22)),$R22&gt;'Configurações'!$B$5),TRUE),"DATA INVÁLIDA","OK")))))))))))))</f>
        <v/>
      </c>
    </row>
    <row r="23">
      <c r="A23" s="21" t="n"/>
      <c r="B23" s="21" t="n"/>
      <c r="C23" s="27">
        <f>IFERROR(VLOOKUP($B23,'Estoque Central'!$A$6:$M$205,2,FALSE),"")</f>
        <v/>
      </c>
      <c r="D23" s="25">
        <f>IFERROR(VLOOKUP($B23,'Estoque Central'!$A$6:$M$205,3,FALSE),"")</f>
        <v/>
      </c>
      <c r="E23" s="21" t="n"/>
      <c r="F23" s="22" t="n"/>
      <c r="G23" s="22" t="n"/>
      <c r="H23" s="25">
        <f>IFERROR(VLOOKUP($E23,'Configurações'!$A$11:$F$20,2,FALSE),"")</f>
        <v/>
      </c>
      <c r="I23" s="28">
        <f>IFERROR(VLOOKUP($E23,'Configurações'!$A$11:$F$20,3,FALSE),"")</f>
        <v/>
      </c>
      <c r="J23" s="24">
        <f>IFERROR(VLOOKUP($E23,'Configurações'!$A$11:$F$20,4,FALSE),"")</f>
        <v/>
      </c>
      <c r="K23" s="24">
        <f>IFERROR(VLOOKUP($E23,'Configurações'!$A$11:$F$20,5,FALSE),"")</f>
        <v/>
      </c>
      <c r="L23" s="24">
        <f>IFERROR(VLOOKUP($B23,'Estoque Central'!$A$6:$M$205,9,FALSE),"")</f>
        <v/>
      </c>
      <c r="M23" s="24">
        <f>IF(COUNTA($A23:$B23,$E23:$G23,$R23)=0,"",IFERROR(IF(OR($C23="",$H23=""),"",IF(OR($D23&lt;&gt;"Ativo",$H23&lt;&gt;"Sim"),0,MIN(IF($J23="",$L23,$J23),ROUNDDOWN($L23*$I23,0)))),""))</f>
        <v/>
      </c>
      <c r="N23" s="24">
        <f>IF(OR($M23="",NOT(ISNUMBER($F23))),"",$M23-$F23)</f>
        <v/>
      </c>
      <c r="O23" s="25">
        <f>IF(COUNTA($A23:$B23,$E23:$G23,$R23)=0,"",IF($S23&lt;&gt;"OK","REVISAR CADASTRO",IF($N23&gt;0,"AUMENTAR",IF($N23&lt;0,"REDUZIR","SEM AÇÃO"))))</f>
        <v/>
      </c>
      <c r="P23" s="25">
        <f>IF(COUNTA($A23:$B23,$E23:$G23,$R23)=0,"",IF($S23&lt;&gt;"OK","REVISAR",IF(OR($D23&lt;&gt;"Ativo",$H23&lt;&gt;"Sim"),IF($F23&gt;0,"ALTO","SEM EXPOSIÇÃO"),IF(OR($F23&gt;$M23,SUMIFS($F$6:$F$305,$B$6:$B$305,$B23,$S$6:$S$305,"OK")&gt;$L23),"ALTO",IF(AND($F23&gt;0,$L23&lt;=$K23),"MÉDIO","BAIXO")))))</f>
        <v/>
      </c>
      <c r="Q23" s="25">
        <f>IF(COUNTA($A23:$B23,$E23:$G23,$R23)=0,"",IF($S23&lt;&gt;"OK","REVISAR",IF($O23="SEM AÇÃO","BAIXA",IF(OR($P23="ALTO",ABS($N23)&gt;='Configurações'!$B$3),"URGENTE",IF(OR($P23="MÉDIO",'Configurações'!$B$5-$R23&gt;'Configurações'!$B$4),"ALTA","NORMAL")))))</f>
        <v/>
      </c>
      <c r="R23" s="23" t="n"/>
      <c r="S23" s="25">
        <f>IF(COUNTA($A23:$B23,$E23:$G23,$R23)=0,"",IF($A23="","ID AUSENTE",IF(COUNTIF($A$6:$A$305,$A23)&gt;1,"ID DUPLICADO",IF($B23="","SKU AUSENTE",IF(COUNTIF('Estoque Central'!$A$6:$A$205,$B23)=0,"SKU NÃO CADASTRADO",IF(IFERROR(VLOOKUP($B23,'Estoque Central'!$A$6:$M$205,13,FALSE),"")&lt;&gt;"OK","ESTOQUE CENTRAL COM PENDÊNCIA",IF($E23="","CANAL AUSENTE",IF(COUNTIF('Configurações'!$A$11:$A$20,$E23)=0,"CANAL NÃO CONFIGURADO",IF(IFERROR(VLOOKUP($E23,'Configurações'!$A$11:$F$20,6,FALSE),"")&lt;&gt;"OK","CANAL COM PENDÊNCIA",IF(COUNTIFS($B$6:$B$305,$B23,$E$6:$E$305,$E23)&gt;1,"SKU/CANAL DUPLICADO",IF(IFERROR(OR(NOT(ISNUMBER($F23)),$F23&lt;0,MOD($F23,1)&lt;&gt;0),TRUE),"SALDO PUBLICADO INVÁLIDO",IF(IFERROR(OR(NOT(ISNUMBER($G23)),$G23&lt;0,MOD($G23,1)&lt;&gt;0),TRUE),"PEDIDOS PENDENTES INVÁLIDOS",IF(IFERROR(OR(NOT(ISNUMBER($R23)),$R23&gt;'Configurações'!$B$5),TRUE),"DATA INVÁLIDA","OK")))))))))))))</f>
        <v/>
      </c>
    </row>
    <row r="24">
      <c r="A24" s="21" t="n"/>
      <c r="B24" s="21" t="n"/>
      <c r="C24" s="27">
        <f>IFERROR(VLOOKUP($B24,'Estoque Central'!$A$6:$M$205,2,FALSE),"")</f>
        <v/>
      </c>
      <c r="D24" s="25">
        <f>IFERROR(VLOOKUP($B24,'Estoque Central'!$A$6:$M$205,3,FALSE),"")</f>
        <v/>
      </c>
      <c r="E24" s="21" t="n"/>
      <c r="F24" s="22" t="n"/>
      <c r="G24" s="22" t="n"/>
      <c r="H24" s="25">
        <f>IFERROR(VLOOKUP($E24,'Configurações'!$A$11:$F$20,2,FALSE),"")</f>
        <v/>
      </c>
      <c r="I24" s="28">
        <f>IFERROR(VLOOKUP($E24,'Configurações'!$A$11:$F$20,3,FALSE),"")</f>
        <v/>
      </c>
      <c r="J24" s="24">
        <f>IFERROR(VLOOKUP($E24,'Configurações'!$A$11:$F$20,4,FALSE),"")</f>
        <v/>
      </c>
      <c r="K24" s="24">
        <f>IFERROR(VLOOKUP($E24,'Configurações'!$A$11:$F$20,5,FALSE),"")</f>
        <v/>
      </c>
      <c r="L24" s="24">
        <f>IFERROR(VLOOKUP($B24,'Estoque Central'!$A$6:$M$205,9,FALSE),"")</f>
        <v/>
      </c>
      <c r="M24" s="24">
        <f>IF(COUNTA($A24:$B24,$E24:$G24,$R24)=0,"",IFERROR(IF(OR($C24="",$H24=""),"",IF(OR($D24&lt;&gt;"Ativo",$H24&lt;&gt;"Sim"),0,MIN(IF($J24="",$L24,$J24),ROUNDDOWN($L24*$I24,0)))),""))</f>
        <v/>
      </c>
      <c r="N24" s="24">
        <f>IF(OR($M24="",NOT(ISNUMBER($F24))),"",$M24-$F24)</f>
        <v/>
      </c>
      <c r="O24" s="25">
        <f>IF(COUNTA($A24:$B24,$E24:$G24,$R24)=0,"",IF($S24&lt;&gt;"OK","REVISAR CADASTRO",IF($N24&gt;0,"AUMENTAR",IF($N24&lt;0,"REDUZIR","SEM AÇÃO"))))</f>
        <v/>
      </c>
      <c r="P24" s="25">
        <f>IF(COUNTA($A24:$B24,$E24:$G24,$R24)=0,"",IF($S24&lt;&gt;"OK","REVISAR",IF(OR($D24&lt;&gt;"Ativo",$H24&lt;&gt;"Sim"),IF($F24&gt;0,"ALTO","SEM EXPOSIÇÃO"),IF(OR($F24&gt;$M24,SUMIFS($F$6:$F$305,$B$6:$B$305,$B24,$S$6:$S$305,"OK")&gt;$L24),"ALTO",IF(AND($F24&gt;0,$L24&lt;=$K24),"MÉDIO","BAIXO")))))</f>
        <v/>
      </c>
      <c r="Q24" s="25">
        <f>IF(COUNTA($A24:$B24,$E24:$G24,$R24)=0,"",IF($S24&lt;&gt;"OK","REVISAR",IF($O24="SEM AÇÃO","BAIXA",IF(OR($P24="ALTO",ABS($N24)&gt;='Configurações'!$B$3),"URGENTE",IF(OR($P24="MÉDIO",'Configurações'!$B$5-$R24&gt;'Configurações'!$B$4),"ALTA","NORMAL")))))</f>
        <v/>
      </c>
      <c r="R24" s="23" t="n"/>
      <c r="S24" s="25">
        <f>IF(COUNTA($A24:$B24,$E24:$G24,$R24)=0,"",IF($A24="","ID AUSENTE",IF(COUNTIF($A$6:$A$305,$A24)&gt;1,"ID DUPLICADO",IF($B24="","SKU AUSENTE",IF(COUNTIF('Estoque Central'!$A$6:$A$205,$B24)=0,"SKU NÃO CADASTRADO",IF(IFERROR(VLOOKUP($B24,'Estoque Central'!$A$6:$M$205,13,FALSE),"")&lt;&gt;"OK","ESTOQUE CENTRAL COM PENDÊNCIA",IF($E24="","CANAL AUSENTE",IF(COUNTIF('Configurações'!$A$11:$A$20,$E24)=0,"CANAL NÃO CONFIGURADO",IF(IFERROR(VLOOKUP($E24,'Configurações'!$A$11:$F$20,6,FALSE),"")&lt;&gt;"OK","CANAL COM PENDÊNCIA",IF(COUNTIFS($B$6:$B$305,$B24,$E$6:$E$305,$E24)&gt;1,"SKU/CANAL DUPLICADO",IF(IFERROR(OR(NOT(ISNUMBER($F24)),$F24&lt;0,MOD($F24,1)&lt;&gt;0),TRUE),"SALDO PUBLICADO INVÁLIDO",IF(IFERROR(OR(NOT(ISNUMBER($G24)),$G24&lt;0,MOD($G24,1)&lt;&gt;0),TRUE),"PEDIDOS PENDENTES INVÁLIDOS",IF(IFERROR(OR(NOT(ISNUMBER($R24)),$R24&gt;'Configurações'!$B$5),TRUE),"DATA INVÁLIDA","OK")))))))))))))</f>
        <v/>
      </c>
    </row>
    <row r="25">
      <c r="A25" s="21" t="n"/>
      <c r="B25" s="21" t="n"/>
      <c r="C25" s="27">
        <f>IFERROR(VLOOKUP($B25,'Estoque Central'!$A$6:$M$205,2,FALSE),"")</f>
        <v/>
      </c>
      <c r="D25" s="25">
        <f>IFERROR(VLOOKUP($B25,'Estoque Central'!$A$6:$M$205,3,FALSE),"")</f>
        <v/>
      </c>
      <c r="E25" s="21" t="n"/>
      <c r="F25" s="22" t="n"/>
      <c r="G25" s="22" t="n"/>
      <c r="H25" s="25">
        <f>IFERROR(VLOOKUP($E25,'Configurações'!$A$11:$F$20,2,FALSE),"")</f>
        <v/>
      </c>
      <c r="I25" s="28">
        <f>IFERROR(VLOOKUP($E25,'Configurações'!$A$11:$F$20,3,FALSE),"")</f>
        <v/>
      </c>
      <c r="J25" s="24">
        <f>IFERROR(VLOOKUP($E25,'Configurações'!$A$11:$F$20,4,FALSE),"")</f>
        <v/>
      </c>
      <c r="K25" s="24">
        <f>IFERROR(VLOOKUP($E25,'Configurações'!$A$11:$F$20,5,FALSE),"")</f>
        <v/>
      </c>
      <c r="L25" s="24">
        <f>IFERROR(VLOOKUP($B25,'Estoque Central'!$A$6:$M$205,9,FALSE),"")</f>
        <v/>
      </c>
      <c r="M25" s="24">
        <f>IF(COUNTA($A25:$B25,$E25:$G25,$R25)=0,"",IFERROR(IF(OR($C25="",$H25=""),"",IF(OR($D25&lt;&gt;"Ativo",$H25&lt;&gt;"Sim"),0,MIN(IF($J25="",$L25,$J25),ROUNDDOWN($L25*$I25,0)))),""))</f>
        <v/>
      </c>
      <c r="N25" s="24">
        <f>IF(OR($M25="",NOT(ISNUMBER($F25))),"",$M25-$F25)</f>
        <v/>
      </c>
      <c r="O25" s="25">
        <f>IF(COUNTA($A25:$B25,$E25:$G25,$R25)=0,"",IF($S25&lt;&gt;"OK","REVISAR CADASTRO",IF($N25&gt;0,"AUMENTAR",IF($N25&lt;0,"REDUZIR","SEM AÇÃO"))))</f>
        <v/>
      </c>
      <c r="P25" s="25">
        <f>IF(COUNTA($A25:$B25,$E25:$G25,$R25)=0,"",IF($S25&lt;&gt;"OK","REVISAR",IF(OR($D25&lt;&gt;"Ativo",$H25&lt;&gt;"Sim"),IF($F25&gt;0,"ALTO","SEM EXPOSIÇÃO"),IF(OR($F25&gt;$M25,SUMIFS($F$6:$F$305,$B$6:$B$305,$B25,$S$6:$S$305,"OK")&gt;$L25),"ALTO",IF(AND($F25&gt;0,$L25&lt;=$K25),"MÉDIO","BAIXO")))))</f>
        <v/>
      </c>
      <c r="Q25" s="25">
        <f>IF(COUNTA($A25:$B25,$E25:$G25,$R25)=0,"",IF($S25&lt;&gt;"OK","REVISAR",IF($O25="SEM AÇÃO","BAIXA",IF(OR($P25="ALTO",ABS($N25)&gt;='Configurações'!$B$3),"URGENTE",IF(OR($P25="MÉDIO",'Configurações'!$B$5-$R25&gt;'Configurações'!$B$4),"ALTA","NORMAL")))))</f>
        <v/>
      </c>
      <c r="R25" s="23" t="n"/>
      <c r="S25" s="25">
        <f>IF(COUNTA($A25:$B25,$E25:$G25,$R25)=0,"",IF($A25="","ID AUSENTE",IF(COUNTIF($A$6:$A$305,$A25)&gt;1,"ID DUPLICADO",IF($B25="","SKU AUSENTE",IF(COUNTIF('Estoque Central'!$A$6:$A$205,$B25)=0,"SKU NÃO CADASTRADO",IF(IFERROR(VLOOKUP($B25,'Estoque Central'!$A$6:$M$205,13,FALSE),"")&lt;&gt;"OK","ESTOQUE CENTRAL COM PENDÊNCIA",IF($E25="","CANAL AUSENTE",IF(COUNTIF('Configurações'!$A$11:$A$20,$E25)=0,"CANAL NÃO CONFIGURADO",IF(IFERROR(VLOOKUP($E25,'Configurações'!$A$11:$F$20,6,FALSE),"")&lt;&gt;"OK","CANAL COM PENDÊNCIA",IF(COUNTIFS($B$6:$B$305,$B25,$E$6:$E$305,$E25)&gt;1,"SKU/CANAL DUPLICADO",IF(IFERROR(OR(NOT(ISNUMBER($F25)),$F25&lt;0,MOD($F25,1)&lt;&gt;0),TRUE),"SALDO PUBLICADO INVÁLIDO",IF(IFERROR(OR(NOT(ISNUMBER($G25)),$G25&lt;0,MOD($G25,1)&lt;&gt;0),TRUE),"PEDIDOS PENDENTES INVÁLIDOS",IF(IFERROR(OR(NOT(ISNUMBER($R25)),$R25&gt;'Configurações'!$B$5),TRUE),"DATA INVÁLIDA","OK")))))))))))))</f>
        <v/>
      </c>
    </row>
    <row r="26">
      <c r="A26" s="21" t="n"/>
      <c r="B26" s="21" t="n"/>
      <c r="C26" s="27">
        <f>IFERROR(VLOOKUP($B26,'Estoque Central'!$A$6:$M$205,2,FALSE),"")</f>
        <v/>
      </c>
      <c r="D26" s="25">
        <f>IFERROR(VLOOKUP($B26,'Estoque Central'!$A$6:$M$205,3,FALSE),"")</f>
        <v/>
      </c>
      <c r="E26" s="21" t="n"/>
      <c r="F26" s="22" t="n"/>
      <c r="G26" s="22" t="n"/>
      <c r="H26" s="25">
        <f>IFERROR(VLOOKUP($E26,'Configurações'!$A$11:$F$20,2,FALSE),"")</f>
        <v/>
      </c>
      <c r="I26" s="28">
        <f>IFERROR(VLOOKUP($E26,'Configurações'!$A$11:$F$20,3,FALSE),"")</f>
        <v/>
      </c>
      <c r="J26" s="24">
        <f>IFERROR(VLOOKUP($E26,'Configurações'!$A$11:$F$20,4,FALSE),"")</f>
        <v/>
      </c>
      <c r="K26" s="24">
        <f>IFERROR(VLOOKUP($E26,'Configurações'!$A$11:$F$20,5,FALSE),"")</f>
        <v/>
      </c>
      <c r="L26" s="24">
        <f>IFERROR(VLOOKUP($B26,'Estoque Central'!$A$6:$M$205,9,FALSE),"")</f>
        <v/>
      </c>
      <c r="M26" s="24">
        <f>IF(COUNTA($A26:$B26,$E26:$G26,$R26)=0,"",IFERROR(IF(OR($C26="",$H26=""),"",IF(OR($D26&lt;&gt;"Ativo",$H26&lt;&gt;"Sim"),0,MIN(IF($J26="",$L26,$J26),ROUNDDOWN($L26*$I26,0)))),""))</f>
        <v/>
      </c>
      <c r="N26" s="24">
        <f>IF(OR($M26="",NOT(ISNUMBER($F26))),"",$M26-$F26)</f>
        <v/>
      </c>
      <c r="O26" s="25">
        <f>IF(COUNTA($A26:$B26,$E26:$G26,$R26)=0,"",IF($S26&lt;&gt;"OK","REVISAR CADASTRO",IF($N26&gt;0,"AUMENTAR",IF($N26&lt;0,"REDUZIR","SEM AÇÃO"))))</f>
        <v/>
      </c>
      <c r="P26" s="25">
        <f>IF(COUNTA($A26:$B26,$E26:$G26,$R26)=0,"",IF($S26&lt;&gt;"OK","REVISAR",IF(OR($D26&lt;&gt;"Ativo",$H26&lt;&gt;"Sim"),IF($F26&gt;0,"ALTO","SEM EXPOSIÇÃO"),IF(OR($F26&gt;$M26,SUMIFS($F$6:$F$305,$B$6:$B$305,$B26,$S$6:$S$305,"OK")&gt;$L26),"ALTO",IF(AND($F26&gt;0,$L26&lt;=$K26),"MÉDIO","BAIXO")))))</f>
        <v/>
      </c>
      <c r="Q26" s="25">
        <f>IF(COUNTA($A26:$B26,$E26:$G26,$R26)=0,"",IF($S26&lt;&gt;"OK","REVISAR",IF($O26="SEM AÇÃO","BAIXA",IF(OR($P26="ALTO",ABS($N26)&gt;='Configurações'!$B$3),"URGENTE",IF(OR($P26="MÉDIO",'Configurações'!$B$5-$R26&gt;'Configurações'!$B$4),"ALTA","NORMAL")))))</f>
        <v/>
      </c>
      <c r="R26" s="23" t="n"/>
      <c r="S26" s="25">
        <f>IF(COUNTA($A26:$B26,$E26:$G26,$R26)=0,"",IF($A26="","ID AUSENTE",IF(COUNTIF($A$6:$A$305,$A26)&gt;1,"ID DUPLICADO",IF($B26="","SKU AUSENTE",IF(COUNTIF('Estoque Central'!$A$6:$A$205,$B26)=0,"SKU NÃO CADASTRADO",IF(IFERROR(VLOOKUP($B26,'Estoque Central'!$A$6:$M$205,13,FALSE),"")&lt;&gt;"OK","ESTOQUE CENTRAL COM PENDÊNCIA",IF($E26="","CANAL AUSENTE",IF(COUNTIF('Configurações'!$A$11:$A$20,$E26)=0,"CANAL NÃO CONFIGURADO",IF(IFERROR(VLOOKUP($E26,'Configurações'!$A$11:$F$20,6,FALSE),"")&lt;&gt;"OK","CANAL COM PENDÊNCIA",IF(COUNTIFS($B$6:$B$305,$B26,$E$6:$E$305,$E26)&gt;1,"SKU/CANAL DUPLICADO",IF(IFERROR(OR(NOT(ISNUMBER($F26)),$F26&lt;0,MOD($F26,1)&lt;&gt;0),TRUE),"SALDO PUBLICADO INVÁLIDO",IF(IFERROR(OR(NOT(ISNUMBER($G26)),$G26&lt;0,MOD($G26,1)&lt;&gt;0),TRUE),"PEDIDOS PENDENTES INVÁLIDOS",IF(IFERROR(OR(NOT(ISNUMBER($R26)),$R26&gt;'Configurações'!$B$5),TRUE),"DATA INVÁLIDA","OK")))))))))))))</f>
        <v/>
      </c>
    </row>
    <row r="27">
      <c r="A27" s="21" t="n"/>
      <c r="B27" s="21" t="n"/>
      <c r="C27" s="27">
        <f>IFERROR(VLOOKUP($B27,'Estoque Central'!$A$6:$M$205,2,FALSE),"")</f>
        <v/>
      </c>
      <c r="D27" s="25">
        <f>IFERROR(VLOOKUP($B27,'Estoque Central'!$A$6:$M$205,3,FALSE),"")</f>
        <v/>
      </c>
      <c r="E27" s="21" t="n"/>
      <c r="F27" s="22" t="n"/>
      <c r="G27" s="22" t="n"/>
      <c r="H27" s="25">
        <f>IFERROR(VLOOKUP($E27,'Configurações'!$A$11:$F$20,2,FALSE),"")</f>
        <v/>
      </c>
      <c r="I27" s="28">
        <f>IFERROR(VLOOKUP($E27,'Configurações'!$A$11:$F$20,3,FALSE),"")</f>
        <v/>
      </c>
      <c r="J27" s="24">
        <f>IFERROR(VLOOKUP($E27,'Configurações'!$A$11:$F$20,4,FALSE),"")</f>
        <v/>
      </c>
      <c r="K27" s="24">
        <f>IFERROR(VLOOKUP($E27,'Configurações'!$A$11:$F$20,5,FALSE),"")</f>
        <v/>
      </c>
      <c r="L27" s="24">
        <f>IFERROR(VLOOKUP($B27,'Estoque Central'!$A$6:$M$205,9,FALSE),"")</f>
        <v/>
      </c>
      <c r="M27" s="24">
        <f>IF(COUNTA($A27:$B27,$E27:$G27,$R27)=0,"",IFERROR(IF(OR($C27="",$H27=""),"",IF(OR($D27&lt;&gt;"Ativo",$H27&lt;&gt;"Sim"),0,MIN(IF($J27="",$L27,$J27),ROUNDDOWN($L27*$I27,0)))),""))</f>
        <v/>
      </c>
      <c r="N27" s="24">
        <f>IF(OR($M27="",NOT(ISNUMBER($F27))),"",$M27-$F27)</f>
        <v/>
      </c>
      <c r="O27" s="25">
        <f>IF(COUNTA($A27:$B27,$E27:$G27,$R27)=0,"",IF($S27&lt;&gt;"OK","REVISAR CADASTRO",IF($N27&gt;0,"AUMENTAR",IF($N27&lt;0,"REDUZIR","SEM AÇÃO"))))</f>
        <v/>
      </c>
      <c r="P27" s="25">
        <f>IF(COUNTA($A27:$B27,$E27:$G27,$R27)=0,"",IF($S27&lt;&gt;"OK","REVISAR",IF(OR($D27&lt;&gt;"Ativo",$H27&lt;&gt;"Sim"),IF($F27&gt;0,"ALTO","SEM EXPOSIÇÃO"),IF(OR($F27&gt;$M27,SUMIFS($F$6:$F$305,$B$6:$B$305,$B27,$S$6:$S$305,"OK")&gt;$L27),"ALTO",IF(AND($F27&gt;0,$L27&lt;=$K27),"MÉDIO","BAIXO")))))</f>
        <v/>
      </c>
      <c r="Q27" s="25">
        <f>IF(COUNTA($A27:$B27,$E27:$G27,$R27)=0,"",IF($S27&lt;&gt;"OK","REVISAR",IF($O27="SEM AÇÃO","BAIXA",IF(OR($P27="ALTO",ABS($N27)&gt;='Configurações'!$B$3),"URGENTE",IF(OR($P27="MÉDIO",'Configurações'!$B$5-$R27&gt;'Configurações'!$B$4),"ALTA","NORMAL")))))</f>
        <v/>
      </c>
      <c r="R27" s="23" t="n"/>
      <c r="S27" s="25">
        <f>IF(COUNTA($A27:$B27,$E27:$G27,$R27)=0,"",IF($A27="","ID AUSENTE",IF(COUNTIF($A$6:$A$305,$A27)&gt;1,"ID DUPLICADO",IF($B27="","SKU AUSENTE",IF(COUNTIF('Estoque Central'!$A$6:$A$205,$B27)=0,"SKU NÃO CADASTRADO",IF(IFERROR(VLOOKUP($B27,'Estoque Central'!$A$6:$M$205,13,FALSE),"")&lt;&gt;"OK","ESTOQUE CENTRAL COM PENDÊNCIA",IF($E27="","CANAL AUSENTE",IF(COUNTIF('Configurações'!$A$11:$A$20,$E27)=0,"CANAL NÃO CONFIGURADO",IF(IFERROR(VLOOKUP($E27,'Configurações'!$A$11:$F$20,6,FALSE),"")&lt;&gt;"OK","CANAL COM PENDÊNCIA",IF(COUNTIFS($B$6:$B$305,$B27,$E$6:$E$305,$E27)&gt;1,"SKU/CANAL DUPLICADO",IF(IFERROR(OR(NOT(ISNUMBER($F27)),$F27&lt;0,MOD($F27,1)&lt;&gt;0),TRUE),"SALDO PUBLICADO INVÁLIDO",IF(IFERROR(OR(NOT(ISNUMBER($G27)),$G27&lt;0,MOD($G27,1)&lt;&gt;0),TRUE),"PEDIDOS PENDENTES INVÁLIDOS",IF(IFERROR(OR(NOT(ISNUMBER($R27)),$R27&gt;'Configurações'!$B$5),TRUE),"DATA INVÁLIDA","OK")))))))))))))</f>
        <v/>
      </c>
    </row>
    <row r="28">
      <c r="A28" s="21" t="n"/>
      <c r="B28" s="21" t="n"/>
      <c r="C28" s="27">
        <f>IFERROR(VLOOKUP($B28,'Estoque Central'!$A$6:$M$205,2,FALSE),"")</f>
        <v/>
      </c>
      <c r="D28" s="25">
        <f>IFERROR(VLOOKUP($B28,'Estoque Central'!$A$6:$M$205,3,FALSE),"")</f>
        <v/>
      </c>
      <c r="E28" s="21" t="n"/>
      <c r="F28" s="22" t="n"/>
      <c r="G28" s="22" t="n"/>
      <c r="H28" s="25">
        <f>IFERROR(VLOOKUP($E28,'Configurações'!$A$11:$F$20,2,FALSE),"")</f>
        <v/>
      </c>
      <c r="I28" s="28">
        <f>IFERROR(VLOOKUP($E28,'Configurações'!$A$11:$F$20,3,FALSE),"")</f>
        <v/>
      </c>
      <c r="J28" s="24">
        <f>IFERROR(VLOOKUP($E28,'Configurações'!$A$11:$F$20,4,FALSE),"")</f>
        <v/>
      </c>
      <c r="K28" s="24">
        <f>IFERROR(VLOOKUP($E28,'Configurações'!$A$11:$F$20,5,FALSE),"")</f>
        <v/>
      </c>
      <c r="L28" s="24">
        <f>IFERROR(VLOOKUP($B28,'Estoque Central'!$A$6:$M$205,9,FALSE),"")</f>
        <v/>
      </c>
      <c r="M28" s="24">
        <f>IF(COUNTA($A28:$B28,$E28:$G28,$R28)=0,"",IFERROR(IF(OR($C28="",$H28=""),"",IF(OR($D28&lt;&gt;"Ativo",$H28&lt;&gt;"Sim"),0,MIN(IF($J28="",$L28,$J28),ROUNDDOWN($L28*$I28,0)))),""))</f>
        <v/>
      </c>
      <c r="N28" s="24">
        <f>IF(OR($M28="",NOT(ISNUMBER($F28))),"",$M28-$F28)</f>
        <v/>
      </c>
      <c r="O28" s="25">
        <f>IF(COUNTA($A28:$B28,$E28:$G28,$R28)=0,"",IF($S28&lt;&gt;"OK","REVISAR CADASTRO",IF($N28&gt;0,"AUMENTAR",IF($N28&lt;0,"REDUZIR","SEM AÇÃO"))))</f>
        <v/>
      </c>
      <c r="P28" s="25">
        <f>IF(COUNTA($A28:$B28,$E28:$G28,$R28)=0,"",IF($S28&lt;&gt;"OK","REVISAR",IF(OR($D28&lt;&gt;"Ativo",$H28&lt;&gt;"Sim"),IF($F28&gt;0,"ALTO","SEM EXPOSIÇÃO"),IF(OR($F28&gt;$M28,SUMIFS($F$6:$F$305,$B$6:$B$305,$B28,$S$6:$S$305,"OK")&gt;$L28),"ALTO",IF(AND($F28&gt;0,$L28&lt;=$K28),"MÉDIO","BAIXO")))))</f>
        <v/>
      </c>
      <c r="Q28" s="25">
        <f>IF(COUNTA($A28:$B28,$E28:$G28,$R28)=0,"",IF($S28&lt;&gt;"OK","REVISAR",IF($O28="SEM AÇÃO","BAIXA",IF(OR($P28="ALTO",ABS($N28)&gt;='Configurações'!$B$3),"URGENTE",IF(OR($P28="MÉDIO",'Configurações'!$B$5-$R28&gt;'Configurações'!$B$4),"ALTA","NORMAL")))))</f>
        <v/>
      </c>
      <c r="R28" s="23" t="n"/>
      <c r="S28" s="25">
        <f>IF(COUNTA($A28:$B28,$E28:$G28,$R28)=0,"",IF($A28="","ID AUSENTE",IF(COUNTIF($A$6:$A$305,$A28)&gt;1,"ID DUPLICADO",IF($B28="","SKU AUSENTE",IF(COUNTIF('Estoque Central'!$A$6:$A$205,$B28)=0,"SKU NÃO CADASTRADO",IF(IFERROR(VLOOKUP($B28,'Estoque Central'!$A$6:$M$205,13,FALSE),"")&lt;&gt;"OK","ESTOQUE CENTRAL COM PENDÊNCIA",IF($E28="","CANAL AUSENTE",IF(COUNTIF('Configurações'!$A$11:$A$20,$E28)=0,"CANAL NÃO CONFIGURADO",IF(IFERROR(VLOOKUP($E28,'Configurações'!$A$11:$F$20,6,FALSE),"")&lt;&gt;"OK","CANAL COM PENDÊNCIA",IF(COUNTIFS($B$6:$B$305,$B28,$E$6:$E$305,$E28)&gt;1,"SKU/CANAL DUPLICADO",IF(IFERROR(OR(NOT(ISNUMBER($F28)),$F28&lt;0,MOD($F28,1)&lt;&gt;0),TRUE),"SALDO PUBLICADO INVÁLIDO",IF(IFERROR(OR(NOT(ISNUMBER($G28)),$G28&lt;0,MOD($G28,1)&lt;&gt;0),TRUE),"PEDIDOS PENDENTES INVÁLIDOS",IF(IFERROR(OR(NOT(ISNUMBER($R28)),$R28&gt;'Configurações'!$B$5),TRUE),"DATA INVÁLIDA","OK")))))))))))))</f>
        <v/>
      </c>
    </row>
    <row r="29">
      <c r="A29" s="21" t="n"/>
      <c r="B29" s="21" t="n"/>
      <c r="C29" s="27">
        <f>IFERROR(VLOOKUP($B29,'Estoque Central'!$A$6:$M$205,2,FALSE),"")</f>
        <v/>
      </c>
      <c r="D29" s="25">
        <f>IFERROR(VLOOKUP($B29,'Estoque Central'!$A$6:$M$205,3,FALSE),"")</f>
        <v/>
      </c>
      <c r="E29" s="21" t="n"/>
      <c r="F29" s="22" t="n"/>
      <c r="G29" s="22" t="n"/>
      <c r="H29" s="25">
        <f>IFERROR(VLOOKUP($E29,'Configurações'!$A$11:$F$20,2,FALSE),"")</f>
        <v/>
      </c>
      <c r="I29" s="28">
        <f>IFERROR(VLOOKUP($E29,'Configurações'!$A$11:$F$20,3,FALSE),"")</f>
        <v/>
      </c>
      <c r="J29" s="24">
        <f>IFERROR(VLOOKUP($E29,'Configurações'!$A$11:$F$20,4,FALSE),"")</f>
        <v/>
      </c>
      <c r="K29" s="24">
        <f>IFERROR(VLOOKUP($E29,'Configurações'!$A$11:$F$20,5,FALSE),"")</f>
        <v/>
      </c>
      <c r="L29" s="24">
        <f>IFERROR(VLOOKUP($B29,'Estoque Central'!$A$6:$M$205,9,FALSE),"")</f>
        <v/>
      </c>
      <c r="M29" s="24">
        <f>IF(COUNTA($A29:$B29,$E29:$G29,$R29)=0,"",IFERROR(IF(OR($C29="",$H29=""),"",IF(OR($D29&lt;&gt;"Ativo",$H29&lt;&gt;"Sim"),0,MIN(IF($J29="",$L29,$J29),ROUNDDOWN($L29*$I29,0)))),""))</f>
        <v/>
      </c>
      <c r="N29" s="24">
        <f>IF(OR($M29="",NOT(ISNUMBER($F29))),"",$M29-$F29)</f>
        <v/>
      </c>
      <c r="O29" s="25">
        <f>IF(COUNTA($A29:$B29,$E29:$G29,$R29)=0,"",IF($S29&lt;&gt;"OK","REVISAR CADASTRO",IF($N29&gt;0,"AUMENTAR",IF($N29&lt;0,"REDUZIR","SEM AÇÃO"))))</f>
        <v/>
      </c>
      <c r="P29" s="25">
        <f>IF(COUNTA($A29:$B29,$E29:$G29,$R29)=0,"",IF($S29&lt;&gt;"OK","REVISAR",IF(OR($D29&lt;&gt;"Ativo",$H29&lt;&gt;"Sim"),IF($F29&gt;0,"ALTO","SEM EXPOSIÇÃO"),IF(OR($F29&gt;$M29,SUMIFS($F$6:$F$305,$B$6:$B$305,$B29,$S$6:$S$305,"OK")&gt;$L29),"ALTO",IF(AND($F29&gt;0,$L29&lt;=$K29),"MÉDIO","BAIXO")))))</f>
        <v/>
      </c>
      <c r="Q29" s="25">
        <f>IF(COUNTA($A29:$B29,$E29:$G29,$R29)=0,"",IF($S29&lt;&gt;"OK","REVISAR",IF($O29="SEM AÇÃO","BAIXA",IF(OR($P29="ALTO",ABS($N29)&gt;='Configurações'!$B$3),"URGENTE",IF(OR($P29="MÉDIO",'Configurações'!$B$5-$R29&gt;'Configurações'!$B$4),"ALTA","NORMAL")))))</f>
        <v/>
      </c>
      <c r="R29" s="23" t="n"/>
      <c r="S29" s="25">
        <f>IF(COUNTA($A29:$B29,$E29:$G29,$R29)=0,"",IF($A29="","ID AUSENTE",IF(COUNTIF($A$6:$A$305,$A29)&gt;1,"ID DUPLICADO",IF($B29="","SKU AUSENTE",IF(COUNTIF('Estoque Central'!$A$6:$A$205,$B29)=0,"SKU NÃO CADASTRADO",IF(IFERROR(VLOOKUP($B29,'Estoque Central'!$A$6:$M$205,13,FALSE),"")&lt;&gt;"OK","ESTOQUE CENTRAL COM PENDÊNCIA",IF($E29="","CANAL AUSENTE",IF(COUNTIF('Configurações'!$A$11:$A$20,$E29)=0,"CANAL NÃO CONFIGURADO",IF(IFERROR(VLOOKUP($E29,'Configurações'!$A$11:$F$20,6,FALSE),"")&lt;&gt;"OK","CANAL COM PENDÊNCIA",IF(COUNTIFS($B$6:$B$305,$B29,$E$6:$E$305,$E29)&gt;1,"SKU/CANAL DUPLICADO",IF(IFERROR(OR(NOT(ISNUMBER($F29)),$F29&lt;0,MOD($F29,1)&lt;&gt;0),TRUE),"SALDO PUBLICADO INVÁLIDO",IF(IFERROR(OR(NOT(ISNUMBER($G29)),$G29&lt;0,MOD($G29,1)&lt;&gt;0),TRUE),"PEDIDOS PENDENTES INVÁLIDOS",IF(IFERROR(OR(NOT(ISNUMBER($R29)),$R29&gt;'Configurações'!$B$5),TRUE),"DATA INVÁLIDA","OK")))))))))))))</f>
        <v/>
      </c>
    </row>
    <row r="30">
      <c r="A30" s="21" t="n"/>
      <c r="B30" s="21" t="n"/>
      <c r="C30" s="27">
        <f>IFERROR(VLOOKUP($B30,'Estoque Central'!$A$6:$M$205,2,FALSE),"")</f>
        <v/>
      </c>
      <c r="D30" s="25">
        <f>IFERROR(VLOOKUP($B30,'Estoque Central'!$A$6:$M$205,3,FALSE),"")</f>
        <v/>
      </c>
      <c r="E30" s="21" t="n"/>
      <c r="F30" s="22" t="n"/>
      <c r="G30" s="22" t="n"/>
      <c r="H30" s="25">
        <f>IFERROR(VLOOKUP($E30,'Configurações'!$A$11:$F$20,2,FALSE),"")</f>
        <v/>
      </c>
      <c r="I30" s="28">
        <f>IFERROR(VLOOKUP($E30,'Configurações'!$A$11:$F$20,3,FALSE),"")</f>
        <v/>
      </c>
      <c r="J30" s="24">
        <f>IFERROR(VLOOKUP($E30,'Configurações'!$A$11:$F$20,4,FALSE),"")</f>
        <v/>
      </c>
      <c r="K30" s="24">
        <f>IFERROR(VLOOKUP($E30,'Configurações'!$A$11:$F$20,5,FALSE),"")</f>
        <v/>
      </c>
      <c r="L30" s="24">
        <f>IFERROR(VLOOKUP($B30,'Estoque Central'!$A$6:$M$205,9,FALSE),"")</f>
        <v/>
      </c>
      <c r="M30" s="24">
        <f>IF(COUNTA($A30:$B30,$E30:$G30,$R30)=0,"",IFERROR(IF(OR($C30="",$H30=""),"",IF(OR($D30&lt;&gt;"Ativo",$H30&lt;&gt;"Sim"),0,MIN(IF($J30="",$L30,$J30),ROUNDDOWN($L30*$I30,0)))),""))</f>
        <v/>
      </c>
      <c r="N30" s="24">
        <f>IF(OR($M30="",NOT(ISNUMBER($F30))),"",$M30-$F30)</f>
        <v/>
      </c>
      <c r="O30" s="25">
        <f>IF(COUNTA($A30:$B30,$E30:$G30,$R30)=0,"",IF($S30&lt;&gt;"OK","REVISAR CADASTRO",IF($N30&gt;0,"AUMENTAR",IF($N30&lt;0,"REDUZIR","SEM AÇÃO"))))</f>
        <v/>
      </c>
      <c r="P30" s="25">
        <f>IF(COUNTA($A30:$B30,$E30:$G30,$R30)=0,"",IF($S30&lt;&gt;"OK","REVISAR",IF(OR($D30&lt;&gt;"Ativo",$H30&lt;&gt;"Sim"),IF($F30&gt;0,"ALTO","SEM EXPOSIÇÃO"),IF(OR($F30&gt;$M30,SUMIFS($F$6:$F$305,$B$6:$B$305,$B30,$S$6:$S$305,"OK")&gt;$L30),"ALTO",IF(AND($F30&gt;0,$L30&lt;=$K30),"MÉDIO","BAIXO")))))</f>
        <v/>
      </c>
      <c r="Q30" s="25">
        <f>IF(COUNTA($A30:$B30,$E30:$G30,$R30)=0,"",IF($S30&lt;&gt;"OK","REVISAR",IF($O30="SEM AÇÃO","BAIXA",IF(OR($P30="ALTO",ABS($N30)&gt;='Configurações'!$B$3),"URGENTE",IF(OR($P30="MÉDIO",'Configurações'!$B$5-$R30&gt;'Configurações'!$B$4),"ALTA","NORMAL")))))</f>
        <v/>
      </c>
      <c r="R30" s="23" t="n"/>
      <c r="S30" s="25">
        <f>IF(COUNTA($A30:$B30,$E30:$G30,$R30)=0,"",IF($A30="","ID AUSENTE",IF(COUNTIF($A$6:$A$305,$A30)&gt;1,"ID DUPLICADO",IF($B30="","SKU AUSENTE",IF(COUNTIF('Estoque Central'!$A$6:$A$205,$B30)=0,"SKU NÃO CADASTRADO",IF(IFERROR(VLOOKUP($B30,'Estoque Central'!$A$6:$M$205,13,FALSE),"")&lt;&gt;"OK","ESTOQUE CENTRAL COM PENDÊNCIA",IF($E30="","CANAL AUSENTE",IF(COUNTIF('Configurações'!$A$11:$A$20,$E30)=0,"CANAL NÃO CONFIGURADO",IF(IFERROR(VLOOKUP($E30,'Configurações'!$A$11:$F$20,6,FALSE),"")&lt;&gt;"OK","CANAL COM PENDÊNCIA",IF(COUNTIFS($B$6:$B$305,$B30,$E$6:$E$305,$E30)&gt;1,"SKU/CANAL DUPLICADO",IF(IFERROR(OR(NOT(ISNUMBER($F30)),$F30&lt;0,MOD($F30,1)&lt;&gt;0),TRUE),"SALDO PUBLICADO INVÁLIDO",IF(IFERROR(OR(NOT(ISNUMBER($G30)),$G30&lt;0,MOD($G30,1)&lt;&gt;0),TRUE),"PEDIDOS PENDENTES INVÁLIDOS",IF(IFERROR(OR(NOT(ISNUMBER($R30)),$R30&gt;'Configurações'!$B$5),TRUE),"DATA INVÁLIDA","OK")))))))))))))</f>
        <v/>
      </c>
    </row>
    <row r="31">
      <c r="A31" s="21" t="n"/>
      <c r="B31" s="21" t="n"/>
      <c r="C31" s="27">
        <f>IFERROR(VLOOKUP($B31,'Estoque Central'!$A$6:$M$205,2,FALSE),"")</f>
        <v/>
      </c>
      <c r="D31" s="25">
        <f>IFERROR(VLOOKUP($B31,'Estoque Central'!$A$6:$M$205,3,FALSE),"")</f>
        <v/>
      </c>
      <c r="E31" s="21" t="n"/>
      <c r="F31" s="22" t="n"/>
      <c r="G31" s="22" t="n"/>
      <c r="H31" s="25">
        <f>IFERROR(VLOOKUP($E31,'Configurações'!$A$11:$F$20,2,FALSE),"")</f>
        <v/>
      </c>
      <c r="I31" s="28">
        <f>IFERROR(VLOOKUP($E31,'Configurações'!$A$11:$F$20,3,FALSE),"")</f>
        <v/>
      </c>
      <c r="J31" s="24">
        <f>IFERROR(VLOOKUP($E31,'Configurações'!$A$11:$F$20,4,FALSE),"")</f>
        <v/>
      </c>
      <c r="K31" s="24">
        <f>IFERROR(VLOOKUP($E31,'Configurações'!$A$11:$F$20,5,FALSE),"")</f>
        <v/>
      </c>
      <c r="L31" s="24">
        <f>IFERROR(VLOOKUP($B31,'Estoque Central'!$A$6:$M$205,9,FALSE),"")</f>
        <v/>
      </c>
      <c r="M31" s="24">
        <f>IF(COUNTA($A31:$B31,$E31:$G31,$R31)=0,"",IFERROR(IF(OR($C31="",$H31=""),"",IF(OR($D31&lt;&gt;"Ativo",$H31&lt;&gt;"Sim"),0,MIN(IF($J31="",$L31,$J31),ROUNDDOWN($L31*$I31,0)))),""))</f>
        <v/>
      </c>
      <c r="N31" s="24">
        <f>IF(OR($M31="",NOT(ISNUMBER($F31))),"",$M31-$F31)</f>
        <v/>
      </c>
      <c r="O31" s="25">
        <f>IF(COUNTA($A31:$B31,$E31:$G31,$R31)=0,"",IF($S31&lt;&gt;"OK","REVISAR CADASTRO",IF($N31&gt;0,"AUMENTAR",IF($N31&lt;0,"REDUZIR","SEM AÇÃO"))))</f>
        <v/>
      </c>
      <c r="P31" s="25">
        <f>IF(COUNTA($A31:$B31,$E31:$G31,$R31)=0,"",IF($S31&lt;&gt;"OK","REVISAR",IF(OR($D31&lt;&gt;"Ativo",$H31&lt;&gt;"Sim"),IF($F31&gt;0,"ALTO","SEM EXPOSIÇÃO"),IF(OR($F31&gt;$M31,SUMIFS($F$6:$F$305,$B$6:$B$305,$B31,$S$6:$S$305,"OK")&gt;$L31),"ALTO",IF(AND($F31&gt;0,$L31&lt;=$K31),"MÉDIO","BAIXO")))))</f>
        <v/>
      </c>
      <c r="Q31" s="25">
        <f>IF(COUNTA($A31:$B31,$E31:$G31,$R31)=0,"",IF($S31&lt;&gt;"OK","REVISAR",IF($O31="SEM AÇÃO","BAIXA",IF(OR($P31="ALTO",ABS($N31)&gt;='Configurações'!$B$3),"URGENTE",IF(OR($P31="MÉDIO",'Configurações'!$B$5-$R31&gt;'Configurações'!$B$4),"ALTA","NORMAL")))))</f>
        <v/>
      </c>
      <c r="R31" s="23" t="n"/>
      <c r="S31" s="25">
        <f>IF(COUNTA($A31:$B31,$E31:$G31,$R31)=0,"",IF($A31="","ID AUSENTE",IF(COUNTIF($A$6:$A$305,$A31)&gt;1,"ID DUPLICADO",IF($B31="","SKU AUSENTE",IF(COUNTIF('Estoque Central'!$A$6:$A$205,$B31)=0,"SKU NÃO CADASTRADO",IF(IFERROR(VLOOKUP($B31,'Estoque Central'!$A$6:$M$205,13,FALSE),"")&lt;&gt;"OK","ESTOQUE CENTRAL COM PENDÊNCIA",IF($E31="","CANAL AUSENTE",IF(COUNTIF('Configurações'!$A$11:$A$20,$E31)=0,"CANAL NÃO CONFIGURADO",IF(IFERROR(VLOOKUP($E31,'Configurações'!$A$11:$F$20,6,FALSE),"")&lt;&gt;"OK","CANAL COM PENDÊNCIA",IF(COUNTIFS($B$6:$B$305,$B31,$E$6:$E$305,$E31)&gt;1,"SKU/CANAL DUPLICADO",IF(IFERROR(OR(NOT(ISNUMBER($F31)),$F31&lt;0,MOD($F31,1)&lt;&gt;0),TRUE),"SALDO PUBLICADO INVÁLIDO",IF(IFERROR(OR(NOT(ISNUMBER($G31)),$G31&lt;0,MOD($G31,1)&lt;&gt;0),TRUE),"PEDIDOS PENDENTES INVÁLIDOS",IF(IFERROR(OR(NOT(ISNUMBER($R31)),$R31&gt;'Configurações'!$B$5),TRUE),"DATA INVÁLIDA","OK")))))))))))))</f>
        <v/>
      </c>
    </row>
    <row r="32">
      <c r="A32" s="21" t="n"/>
      <c r="B32" s="21" t="n"/>
      <c r="C32" s="27">
        <f>IFERROR(VLOOKUP($B32,'Estoque Central'!$A$6:$M$205,2,FALSE),"")</f>
        <v/>
      </c>
      <c r="D32" s="25">
        <f>IFERROR(VLOOKUP($B32,'Estoque Central'!$A$6:$M$205,3,FALSE),"")</f>
        <v/>
      </c>
      <c r="E32" s="21" t="n"/>
      <c r="F32" s="22" t="n"/>
      <c r="G32" s="22" t="n"/>
      <c r="H32" s="25">
        <f>IFERROR(VLOOKUP($E32,'Configurações'!$A$11:$F$20,2,FALSE),"")</f>
        <v/>
      </c>
      <c r="I32" s="28">
        <f>IFERROR(VLOOKUP($E32,'Configurações'!$A$11:$F$20,3,FALSE),"")</f>
        <v/>
      </c>
      <c r="J32" s="24">
        <f>IFERROR(VLOOKUP($E32,'Configurações'!$A$11:$F$20,4,FALSE),"")</f>
        <v/>
      </c>
      <c r="K32" s="24">
        <f>IFERROR(VLOOKUP($E32,'Configurações'!$A$11:$F$20,5,FALSE),"")</f>
        <v/>
      </c>
      <c r="L32" s="24">
        <f>IFERROR(VLOOKUP($B32,'Estoque Central'!$A$6:$M$205,9,FALSE),"")</f>
        <v/>
      </c>
      <c r="M32" s="24">
        <f>IF(COUNTA($A32:$B32,$E32:$G32,$R32)=0,"",IFERROR(IF(OR($C32="",$H32=""),"",IF(OR($D32&lt;&gt;"Ativo",$H32&lt;&gt;"Sim"),0,MIN(IF($J32="",$L32,$J32),ROUNDDOWN($L32*$I32,0)))),""))</f>
        <v/>
      </c>
      <c r="N32" s="24">
        <f>IF(OR($M32="",NOT(ISNUMBER($F32))),"",$M32-$F32)</f>
        <v/>
      </c>
      <c r="O32" s="25">
        <f>IF(COUNTA($A32:$B32,$E32:$G32,$R32)=0,"",IF($S32&lt;&gt;"OK","REVISAR CADASTRO",IF($N32&gt;0,"AUMENTAR",IF($N32&lt;0,"REDUZIR","SEM AÇÃO"))))</f>
        <v/>
      </c>
      <c r="P32" s="25">
        <f>IF(COUNTA($A32:$B32,$E32:$G32,$R32)=0,"",IF($S32&lt;&gt;"OK","REVISAR",IF(OR($D32&lt;&gt;"Ativo",$H32&lt;&gt;"Sim"),IF($F32&gt;0,"ALTO","SEM EXPOSIÇÃO"),IF(OR($F32&gt;$M32,SUMIFS($F$6:$F$305,$B$6:$B$305,$B32,$S$6:$S$305,"OK")&gt;$L32),"ALTO",IF(AND($F32&gt;0,$L32&lt;=$K32),"MÉDIO","BAIXO")))))</f>
        <v/>
      </c>
      <c r="Q32" s="25">
        <f>IF(COUNTA($A32:$B32,$E32:$G32,$R32)=0,"",IF($S32&lt;&gt;"OK","REVISAR",IF($O32="SEM AÇÃO","BAIXA",IF(OR($P32="ALTO",ABS($N32)&gt;='Configurações'!$B$3),"URGENTE",IF(OR($P32="MÉDIO",'Configurações'!$B$5-$R32&gt;'Configurações'!$B$4),"ALTA","NORMAL")))))</f>
        <v/>
      </c>
      <c r="R32" s="23" t="n"/>
      <c r="S32" s="25">
        <f>IF(COUNTA($A32:$B32,$E32:$G32,$R32)=0,"",IF($A32="","ID AUSENTE",IF(COUNTIF($A$6:$A$305,$A32)&gt;1,"ID DUPLICADO",IF($B32="","SKU AUSENTE",IF(COUNTIF('Estoque Central'!$A$6:$A$205,$B32)=0,"SKU NÃO CADASTRADO",IF(IFERROR(VLOOKUP($B32,'Estoque Central'!$A$6:$M$205,13,FALSE),"")&lt;&gt;"OK","ESTOQUE CENTRAL COM PENDÊNCIA",IF($E32="","CANAL AUSENTE",IF(COUNTIF('Configurações'!$A$11:$A$20,$E32)=0,"CANAL NÃO CONFIGURADO",IF(IFERROR(VLOOKUP($E32,'Configurações'!$A$11:$F$20,6,FALSE),"")&lt;&gt;"OK","CANAL COM PENDÊNCIA",IF(COUNTIFS($B$6:$B$305,$B32,$E$6:$E$305,$E32)&gt;1,"SKU/CANAL DUPLICADO",IF(IFERROR(OR(NOT(ISNUMBER($F32)),$F32&lt;0,MOD($F32,1)&lt;&gt;0),TRUE),"SALDO PUBLICADO INVÁLIDO",IF(IFERROR(OR(NOT(ISNUMBER($G32)),$G32&lt;0,MOD($G32,1)&lt;&gt;0),TRUE),"PEDIDOS PENDENTES INVÁLIDOS",IF(IFERROR(OR(NOT(ISNUMBER($R32)),$R32&gt;'Configurações'!$B$5),TRUE),"DATA INVÁLIDA","OK")))))))))))))</f>
        <v/>
      </c>
    </row>
    <row r="33">
      <c r="A33" s="21" t="n"/>
      <c r="B33" s="21" t="n"/>
      <c r="C33" s="27">
        <f>IFERROR(VLOOKUP($B33,'Estoque Central'!$A$6:$M$205,2,FALSE),"")</f>
        <v/>
      </c>
      <c r="D33" s="25">
        <f>IFERROR(VLOOKUP($B33,'Estoque Central'!$A$6:$M$205,3,FALSE),"")</f>
        <v/>
      </c>
      <c r="E33" s="21" t="n"/>
      <c r="F33" s="22" t="n"/>
      <c r="G33" s="22" t="n"/>
      <c r="H33" s="25">
        <f>IFERROR(VLOOKUP($E33,'Configurações'!$A$11:$F$20,2,FALSE),"")</f>
        <v/>
      </c>
      <c r="I33" s="28">
        <f>IFERROR(VLOOKUP($E33,'Configurações'!$A$11:$F$20,3,FALSE),"")</f>
        <v/>
      </c>
      <c r="J33" s="24">
        <f>IFERROR(VLOOKUP($E33,'Configurações'!$A$11:$F$20,4,FALSE),"")</f>
        <v/>
      </c>
      <c r="K33" s="24">
        <f>IFERROR(VLOOKUP($E33,'Configurações'!$A$11:$F$20,5,FALSE),"")</f>
        <v/>
      </c>
      <c r="L33" s="24">
        <f>IFERROR(VLOOKUP($B33,'Estoque Central'!$A$6:$M$205,9,FALSE),"")</f>
        <v/>
      </c>
      <c r="M33" s="24">
        <f>IF(COUNTA($A33:$B33,$E33:$G33,$R33)=0,"",IFERROR(IF(OR($C33="",$H33=""),"",IF(OR($D33&lt;&gt;"Ativo",$H33&lt;&gt;"Sim"),0,MIN(IF($J33="",$L33,$J33),ROUNDDOWN($L33*$I33,0)))),""))</f>
        <v/>
      </c>
      <c r="N33" s="24">
        <f>IF(OR($M33="",NOT(ISNUMBER($F33))),"",$M33-$F33)</f>
        <v/>
      </c>
      <c r="O33" s="25">
        <f>IF(COUNTA($A33:$B33,$E33:$G33,$R33)=0,"",IF($S33&lt;&gt;"OK","REVISAR CADASTRO",IF($N33&gt;0,"AUMENTAR",IF($N33&lt;0,"REDUZIR","SEM AÇÃO"))))</f>
        <v/>
      </c>
      <c r="P33" s="25">
        <f>IF(COUNTA($A33:$B33,$E33:$G33,$R33)=0,"",IF($S33&lt;&gt;"OK","REVISAR",IF(OR($D33&lt;&gt;"Ativo",$H33&lt;&gt;"Sim"),IF($F33&gt;0,"ALTO","SEM EXPOSIÇÃO"),IF(OR($F33&gt;$M33,SUMIFS($F$6:$F$305,$B$6:$B$305,$B33,$S$6:$S$305,"OK")&gt;$L33),"ALTO",IF(AND($F33&gt;0,$L33&lt;=$K33),"MÉDIO","BAIXO")))))</f>
        <v/>
      </c>
      <c r="Q33" s="25">
        <f>IF(COUNTA($A33:$B33,$E33:$G33,$R33)=0,"",IF($S33&lt;&gt;"OK","REVISAR",IF($O33="SEM AÇÃO","BAIXA",IF(OR($P33="ALTO",ABS($N33)&gt;='Configurações'!$B$3),"URGENTE",IF(OR($P33="MÉDIO",'Configurações'!$B$5-$R33&gt;'Configurações'!$B$4),"ALTA","NORMAL")))))</f>
        <v/>
      </c>
      <c r="R33" s="23" t="n"/>
      <c r="S33" s="25">
        <f>IF(COUNTA($A33:$B33,$E33:$G33,$R33)=0,"",IF($A33="","ID AUSENTE",IF(COUNTIF($A$6:$A$305,$A33)&gt;1,"ID DUPLICADO",IF($B33="","SKU AUSENTE",IF(COUNTIF('Estoque Central'!$A$6:$A$205,$B33)=0,"SKU NÃO CADASTRADO",IF(IFERROR(VLOOKUP($B33,'Estoque Central'!$A$6:$M$205,13,FALSE),"")&lt;&gt;"OK","ESTOQUE CENTRAL COM PENDÊNCIA",IF($E33="","CANAL AUSENTE",IF(COUNTIF('Configurações'!$A$11:$A$20,$E33)=0,"CANAL NÃO CONFIGURADO",IF(IFERROR(VLOOKUP($E33,'Configurações'!$A$11:$F$20,6,FALSE),"")&lt;&gt;"OK","CANAL COM PENDÊNCIA",IF(COUNTIFS($B$6:$B$305,$B33,$E$6:$E$305,$E33)&gt;1,"SKU/CANAL DUPLICADO",IF(IFERROR(OR(NOT(ISNUMBER($F33)),$F33&lt;0,MOD($F33,1)&lt;&gt;0),TRUE),"SALDO PUBLICADO INVÁLIDO",IF(IFERROR(OR(NOT(ISNUMBER($G33)),$G33&lt;0,MOD($G33,1)&lt;&gt;0),TRUE),"PEDIDOS PENDENTES INVÁLIDOS",IF(IFERROR(OR(NOT(ISNUMBER($R33)),$R33&gt;'Configurações'!$B$5),TRUE),"DATA INVÁLIDA","OK")))))))))))))</f>
        <v/>
      </c>
    </row>
    <row r="34">
      <c r="A34" s="21" t="n"/>
      <c r="B34" s="21" t="n"/>
      <c r="C34" s="27">
        <f>IFERROR(VLOOKUP($B34,'Estoque Central'!$A$6:$M$205,2,FALSE),"")</f>
        <v/>
      </c>
      <c r="D34" s="25">
        <f>IFERROR(VLOOKUP($B34,'Estoque Central'!$A$6:$M$205,3,FALSE),"")</f>
        <v/>
      </c>
      <c r="E34" s="21" t="n"/>
      <c r="F34" s="22" t="n"/>
      <c r="G34" s="22" t="n"/>
      <c r="H34" s="25">
        <f>IFERROR(VLOOKUP($E34,'Configurações'!$A$11:$F$20,2,FALSE),"")</f>
        <v/>
      </c>
      <c r="I34" s="28">
        <f>IFERROR(VLOOKUP($E34,'Configurações'!$A$11:$F$20,3,FALSE),"")</f>
        <v/>
      </c>
      <c r="J34" s="24">
        <f>IFERROR(VLOOKUP($E34,'Configurações'!$A$11:$F$20,4,FALSE),"")</f>
        <v/>
      </c>
      <c r="K34" s="24">
        <f>IFERROR(VLOOKUP($E34,'Configurações'!$A$11:$F$20,5,FALSE),"")</f>
        <v/>
      </c>
      <c r="L34" s="24">
        <f>IFERROR(VLOOKUP($B34,'Estoque Central'!$A$6:$M$205,9,FALSE),"")</f>
        <v/>
      </c>
      <c r="M34" s="24">
        <f>IF(COUNTA($A34:$B34,$E34:$G34,$R34)=0,"",IFERROR(IF(OR($C34="",$H34=""),"",IF(OR($D34&lt;&gt;"Ativo",$H34&lt;&gt;"Sim"),0,MIN(IF($J34="",$L34,$J34),ROUNDDOWN($L34*$I34,0)))),""))</f>
        <v/>
      </c>
      <c r="N34" s="24">
        <f>IF(OR($M34="",NOT(ISNUMBER($F34))),"",$M34-$F34)</f>
        <v/>
      </c>
      <c r="O34" s="25">
        <f>IF(COUNTA($A34:$B34,$E34:$G34,$R34)=0,"",IF($S34&lt;&gt;"OK","REVISAR CADASTRO",IF($N34&gt;0,"AUMENTAR",IF($N34&lt;0,"REDUZIR","SEM AÇÃO"))))</f>
        <v/>
      </c>
      <c r="P34" s="25">
        <f>IF(COUNTA($A34:$B34,$E34:$G34,$R34)=0,"",IF($S34&lt;&gt;"OK","REVISAR",IF(OR($D34&lt;&gt;"Ativo",$H34&lt;&gt;"Sim"),IF($F34&gt;0,"ALTO","SEM EXPOSIÇÃO"),IF(OR($F34&gt;$M34,SUMIFS($F$6:$F$305,$B$6:$B$305,$B34,$S$6:$S$305,"OK")&gt;$L34),"ALTO",IF(AND($F34&gt;0,$L34&lt;=$K34),"MÉDIO","BAIXO")))))</f>
        <v/>
      </c>
      <c r="Q34" s="25">
        <f>IF(COUNTA($A34:$B34,$E34:$G34,$R34)=0,"",IF($S34&lt;&gt;"OK","REVISAR",IF($O34="SEM AÇÃO","BAIXA",IF(OR($P34="ALTO",ABS($N34)&gt;='Configurações'!$B$3),"URGENTE",IF(OR($P34="MÉDIO",'Configurações'!$B$5-$R34&gt;'Configurações'!$B$4),"ALTA","NORMAL")))))</f>
        <v/>
      </c>
      <c r="R34" s="23" t="n"/>
      <c r="S34" s="25">
        <f>IF(COUNTA($A34:$B34,$E34:$G34,$R34)=0,"",IF($A34="","ID AUSENTE",IF(COUNTIF($A$6:$A$305,$A34)&gt;1,"ID DUPLICADO",IF($B34="","SKU AUSENTE",IF(COUNTIF('Estoque Central'!$A$6:$A$205,$B34)=0,"SKU NÃO CADASTRADO",IF(IFERROR(VLOOKUP($B34,'Estoque Central'!$A$6:$M$205,13,FALSE),"")&lt;&gt;"OK","ESTOQUE CENTRAL COM PENDÊNCIA",IF($E34="","CANAL AUSENTE",IF(COUNTIF('Configurações'!$A$11:$A$20,$E34)=0,"CANAL NÃO CONFIGURADO",IF(IFERROR(VLOOKUP($E34,'Configurações'!$A$11:$F$20,6,FALSE),"")&lt;&gt;"OK","CANAL COM PENDÊNCIA",IF(COUNTIFS($B$6:$B$305,$B34,$E$6:$E$305,$E34)&gt;1,"SKU/CANAL DUPLICADO",IF(IFERROR(OR(NOT(ISNUMBER($F34)),$F34&lt;0,MOD($F34,1)&lt;&gt;0),TRUE),"SALDO PUBLICADO INVÁLIDO",IF(IFERROR(OR(NOT(ISNUMBER($G34)),$G34&lt;0,MOD($G34,1)&lt;&gt;0),TRUE),"PEDIDOS PENDENTES INVÁLIDOS",IF(IFERROR(OR(NOT(ISNUMBER($R34)),$R34&gt;'Configurações'!$B$5),TRUE),"DATA INVÁLIDA","OK")))))))))))))</f>
        <v/>
      </c>
    </row>
    <row r="35">
      <c r="A35" s="21" t="n"/>
      <c r="B35" s="21" t="n"/>
      <c r="C35" s="27">
        <f>IFERROR(VLOOKUP($B35,'Estoque Central'!$A$6:$M$205,2,FALSE),"")</f>
        <v/>
      </c>
      <c r="D35" s="25">
        <f>IFERROR(VLOOKUP($B35,'Estoque Central'!$A$6:$M$205,3,FALSE),"")</f>
        <v/>
      </c>
      <c r="E35" s="21" t="n"/>
      <c r="F35" s="22" t="n"/>
      <c r="G35" s="22" t="n"/>
      <c r="H35" s="25">
        <f>IFERROR(VLOOKUP($E35,'Configurações'!$A$11:$F$20,2,FALSE),"")</f>
        <v/>
      </c>
      <c r="I35" s="28">
        <f>IFERROR(VLOOKUP($E35,'Configurações'!$A$11:$F$20,3,FALSE),"")</f>
        <v/>
      </c>
      <c r="J35" s="24">
        <f>IFERROR(VLOOKUP($E35,'Configurações'!$A$11:$F$20,4,FALSE),"")</f>
        <v/>
      </c>
      <c r="K35" s="24">
        <f>IFERROR(VLOOKUP($E35,'Configurações'!$A$11:$F$20,5,FALSE),"")</f>
        <v/>
      </c>
      <c r="L35" s="24">
        <f>IFERROR(VLOOKUP($B35,'Estoque Central'!$A$6:$M$205,9,FALSE),"")</f>
        <v/>
      </c>
      <c r="M35" s="24">
        <f>IF(COUNTA($A35:$B35,$E35:$G35,$R35)=0,"",IFERROR(IF(OR($C35="",$H35=""),"",IF(OR($D35&lt;&gt;"Ativo",$H35&lt;&gt;"Sim"),0,MIN(IF($J35="",$L35,$J35),ROUNDDOWN($L35*$I35,0)))),""))</f>
        <v/>
      </c>
      <c r="N35" s="24">
        <f>IF(OR($M35="",NOT(ISNUMBER($F35))),"",$M35-$F35)</f>
        <v/>
      </c>
      <c r="O35" s="25">
        <f>IF(COUNTA($A35:$B35,$E35:$G35,$R35)=0,"",IF($S35&lt;&gt;"OK","REVISAR CADASTRO",IF($N35&gt;0,"AUMENTAR",IF($N35&lt;0,"REDUZIR","SEM AÇÃO"))))</f>
        <v/>
      </c>
      <c r="P35" s="25">
        <f>IF(COUNTA($A35:$B35,$E35:$G35,$R35)=0,"",IF($S35&lt;&gt;"OK","REVISAR",IF(OR($D35&lt;&gt;"Ativo",$H35&lt;&gt;"Sim"),IF($F35&gt;0,"ALTO","SEM EXPOSIÇÃO"),IF(OR($F35&gt;$M35,SUMIFS($F$6:$F$305,$B$6:$B$305,$B35,$S$6:$S$305,"OK")&gt;$L35),"ALTO",IF(AND($F35&gt;0,$L35&lt;=$K35),"MÉDIO","BAIXO")))))</f>
        <v/>
      </c>
      <c r="Q35" s="25">
        <f>IF(COUNTA($A35:$B35,$E35:$G35,$R35)=0,"",IF($S35&lt;&gt;"OK","REVISAR",IF($O35="SEM AÇÃO","BAIXA",IF(OR($P35="ALTO",ABS($N35)&gt;='Configurações'!$B$3),"URGENTE",IF(OR($P35="MÉDIO",'Configurações'!$B$5-$R35&gt;'Configurações'!$B$4),"ALTA","NORMAL")))))</f>
        <v/>
      </c>
      <c r="R35" s="23" t="n"/>
      <c r="S35" s="25">
        <f>IF(COUNTA($A35:$B35,$E35:$G35,$R35)=0,"",IF($A35="","ID AUSENTE",IF(COUNTIF($A$6:$A$305,$A35)&gt;1,"ID DUPLICADO",IF($B35="","SKU AUSENTE",IF(COUNTIF('Estoque Central'!$A$6:$A$205,$B35)=0,"SKU NÃO CADASTRADO",IF(IFERROR(VLOOKUP($B35,'Estoque Central'!$A$6:$M$205,13,FALSE),"")&lt;&gt;"OK","ESTOQUE CENTRAL COM PENDÊNCIA",IF($E35="","CANAL AUSENTE",IF(COUNTIF('Configurações'!$A$11:$A$20,$E35)=0,"CANAL NÃO CONFIGURADO",IF(IFERROR(VLOOKUP($E35,'Configurações'!$A$11:$F$20,6,FALSE),"")&lt;&gt;"OK","CANAL COM PENDÊNCIA",IF(COUNTIFS($B$6:$B$305,$B35,$E$6:$E$305,$E35)&gt;1,"SKU/CANAL DUPLICADO",IF(IFERROR(OR(NOT(ISNUMBER($F35)),$F35&lt;0,MOD($F35,1)&lt;&gt;0),TRUE),"SALDO PUBLICADO INVÁLIDO",IF(IFERROR(OR(NOT(ISNUMBER($G35)),$G35&lt;0,MOD($G35,1)&lt;&gt;0),TRUE),"PEDIDOS PENDENTES INVÁLIDOS",IF(IFERROR(OR(NOT(ISNUMBER($R35)),$R35&gt;'Configurações'!$B$5),TRUE),"DATA INVÁLIDA","OK")))))))))))))</f>
        <v/>
      </c>
    </row>
    <row r="36">
      <c r="A36" s="21" t="n"/>
      <c r="B36" s="21" t="n"/>
      <c r="C36" s="27">
        <f>IFERROR(VLOOKUP($B36,'Estoque Central'!$A$6:$M$205,2,FALSE),"")</f>
        <v/>
      </c>
      <c r="D36" s="25">
        <f>IFERROR(VLOOKUP($B36,'Estoque Central'!$A$6:$M$205,3,FALSE),"")</f>
        <v/>
      </c>
      <c r="E36" s="21" t="n"/>
      <c r="F36" s="22" t="n"/>
      <c r="G36" s="22" t="n"/>
      <c r="H36" s="25">
        <f>IFERROR(VLOOKUP($E36,'Configurações'!$A$11:$F$20,2,FALSE),"")</f>
        <v/>
      </c>
      <c r="I36" s="28">
        <f>IFERROR(VLOOKUP($E36,'Configurações'!$A$11:$F$20,3,FALSE),"")</f>
        <v/>
      </c>
      <c r="J36" s="24">
        <f>IFERROR(VLOOKUP($E36,'Configurações'!$A$11:$F$20,4,FALSE),"")</f>
        <v/>
      </c>
      <c r="K36" s="24">
        <f>IFERROR(VLOOKUP($E36,'Configurações'!$A$11:$F$20,5,FALSE),"")</f>
        <v/>
      </c>
      <c r="L36" s="24">
        <f>IFERROR(VLOOKUP($B36,'Estoque Central'!$A$6:$M$205,9,FALSE),"")</f>
        <v/>
      </c>
      <c r="M36" s="24">
        <f>IF(COUNTA($A36:$B36,$E36:$G36,$R36)=0,"",IFERROR(IF(OR($C36="",$H36=""),"",IF(OR($D36&lt;&gt;"Ativo",$H36&lt;&gt;"Sim"),0,MIN(IF($J36="",$L36,$J36),ROUNDDOWN($L36*$I36,0)))),""))</f>
        <v/>
      </c>
      <c r="N36" s="24">
        <f>IF(OR($M36="",NOT(ISNUMBER($F36))),"",$M36-$F36)</f>
        <v/>
      </c>
      <c r="O36" s="25">
        <f>IF(COUNTA($A36:$B36,$E36:$G36,$R36)=0,"",IF($S36&lt;&gt;"OK","REVISAR CADASTRO",IF($N36&gt;0,"AUMENTAR",IF($N36&lt;0,"REDUZIR","SEM AÇÃO"))))</f>
        <v/>
      </c>
      <c r="P36" s="25">
        <f>IF(COUNTA($A36:$B36,$E36:$G36,$R36)=0,"",IF($S36&lt;&gt;"OK","REVISAR",IF(OR($D36&lt;&gt;"Ativo",$H36&lt;&gt;"Sim"),IF($F36&gt;0,"ALTO","SEM EXPOSIÇÃO"),IF(OR($F36&gt;$M36,SUMIFS($F$6:$F$305,$B$6:$B$305,$B36,$S$6:$S$305,"OK")&gt;$L36),"ALTO",IF(AND($F36&gt;0,$L36&lt;=$K36),"MÉDIO","BAIXO")))))</f>
        <v/>
      </c>
      <c r="Q36" s="25">
        <f>IF(COUNTA($A36:$B36,$E36:$G36,$R36)=0,"",IF($S36&lt;&gt;"OK","REVISAR",IF($O36="SEM AÇÃO","BAIXA",IF(OR($P36="ALTO",ABS($N36)&gt;='Configurações'!$B$3),"URGENTE",IF(OR($P36="MÉDIO",'Configurações'!$B$5-$R36&gt;'Configurações'!$B$4),"ALTA","NORMAL")))))</f>
        <v/>
      </c>
      <c r="R36" s="23" t="n"/>
      <c r="S36" s="25">
        <f>IF(COUNTA($A36:$B36,$E36:$G36,$R36)=0,"",IF($A36="","ID AUSENTE",IF(COUNTIF($A$6:$A$305,$A36)&gt;1,"ID DUPLICADO",IF($B36="","SKU AUSENTE",IF(COUNTIF('Estoque Central'!$A$6:$A$205,$B36)=0,"SKU NÃO CADASTRADO",IF(IFERROR(VLOOKUP($B36,'Estoque Central'!$A$6:$M$205,13,FALSE),"")&lt;&gt;"OK","ESTOQUE CENTRAL COM PENDÊNCIA",IF($E36="","CANAL AUSENTE",IF(COUNTIF('Configurações'!$A$11:$A$20,$E36)=0,"CANAL NÃO CONFIGURADO",IF(IFERROR(VLOOKUP($E36,'Configurações'!$A$11:$F$20,6,FALSE),"")&lt;&gt;"OK","CANAL COM PENDÊNCIA",IF(COUNTIFS($B$6:$B$305,$B36,$E$6:$E$305,$E36)&gt;1,"SKU/CANAL DUPLICADO",IF(IFERROR(OR(NOT(ISNUMBER($F36)),$F36&lt;0,MOD($F36,1)&lt;&gt;0),TRUE),"SALDO PUBLICADO INVÁLIDO",IF(IFERROR(OR(NOT(ISNUMBER($G36)),$G36&lt;0,MOD($G36,1)&lt;&gt;0),TRUE),"PEDIDOS PENDENTES INVÁLIDOS",IF(IFERROR(OR(NOT(ISNUMBER($R36)),$R36&gt;'Configurações'!$B$5),TRUE),"DATA INVÁLIDA","OK")))))))))))))</f>
        <v/>
      </c>
    </row>
    <row r="37">
      <c r="A37" s="21" t="n"/>
      <c r="B37" s="21" t="n"/>
      <c r="C37" s="27">
        <f>IFERROR(VLOOKUP($B37,'Estoque Central'!$A$6:$M$205,2,FALSE),"")</f>
        <v/>
      </c>
      <c r="D37" s="25">
        <f>IFERROR(VLOOKUP($B37,'Estoque Central'!$A$6:$M$205,3,FALSE),"")</f>
        <v/>
      </c>
      <c r="E37" s="21" t="n"/>
      <c r="F37" s="22" t="n"/>
      <c r="G37" s="22" t="n"/>
      <c r="H37" s="25">
        <f>IFERROR(VLOOKUP($E37,'Configurações'!$A$11:$F$20,2,FALSE),"")</f>
        <v/>
      </c>
      <c r="I37" s="28">
        <f>IFERROR(VLOOKUP($E37,'Configurações'!$A$11:$F$20,3,FALSE),"")</f>
        <v/>
      </c>
      <c r="J37" s="24">
        <f>IFERROR(VLOOKUP($E37,'Configurações'!$A$11:$F$20,4,FALSE),"")</f>
        <v/>
      </c>
      <c r="K37" s="24">
        <f>IFERROR(VLOOKUP($E37,'Configurações'!$A$11:$F$20,5,FALSE),"")</f>
        <v/>
      </c>
      <c r="L37" s="24">
        <f>IFERROR(VLOOKUP($B37,'Estoque Central'!$A$6:$M$205,9,FALSE),"")</f>
        <v/>
      </c>
      <c r="M37" s="24">
        <f>IF(COUNTA($A37:$B37,$E37:$G37,$R37)=0,"",IFERROR(IF(OR($C37="",$H37=""),"",IF(OR($D37&lt;&gt;"Ativo",$H37&lt;&gt;"Sim"),0,MIN(IF($J37="",$L37,$J37),ROUNDDOWN($L37*$I37,0)))),""))</f>
        <v/>
      </c>
      <c r="N37" s="24">
        <f>IF(OR($M37="",NOT(ISNUMBER($F37))),"",$M37-$F37)</f>
        <v/>
      </c>
      <c r="O37" s="25">
        <f>IF(COUNTA($A37:$B37,$E37:$G37,$R37)=0,"",IF($S37&lt;&gt;"OK","REVISAR CADASTRO",IF($N37&gt;0,"AUMENTAR",IF($N37&lt;0,"REDUZIR","SEM AÇÃO"))))</f>
        <v/>
      </c>
      <c r="P37" s="25">
        <f>IF(COUNTA($A37:$B37,$E37:$G37,$R37)=0,"",IF($S37&lt;&gt;"OK","REVISAR",IF(OR($D37&lt;&gt;"Ativo",$H37&lt;&gt;"Sim"),IF($F37&gt;0,"ALTO","SEM EXPOSIÇÃO"),IF(OR($F37&gt;$M37,SUMIFS($F$6:$F$305,$B$6:$B$305,$B37,$S$6:$S$305,"OK")&gt;$L37),"ALTO",IF(AND($F37&gt;0,$L37&lt;=$K37),"MÉDIO","BAIXO")))))</f>
        <v/>
      </c>
      <c r="Q37" s="25">
        <f>IF(COUNTA($A37:$B37,$E37:$G37,$R37)=0,"",IF($S37&lt;&gt;"OK","REVISAR",IF($O37="SEM AÇÃO","BAIXA",IF(OR($P37="ALTO",ABS($N37)&gt;='Configurações'!$B$3),"URGENTE",IF(OR($P37="MÉDIO",'Configurações'!$B$5-$R37&gt;'Configurações'!$B$4),"ALTA","NORMAL")))))</f>
        <v/>
      </c>
      <c r="R37" s="23" t="n"/>
      <c r="S37" s="25">
        <f>IF(COUNTA($A37:$B37,$E37:$G37,$R37)=0,"",IF($A37="","ID AUSENTE",IF(COUNTIF($A$6:$A$305,$A37)&gt;1,"ID DUPLICADO",IF($B37="","SKU AUSENTE",IF(COUNTIF('Estoque Central'!$A$6:$A$205,$B37)=0,"SKU NÃO CADASTRADO",IF(IFERROR(VLOOKUP($B37,'Estoque Central'!$A$6:$M$205,13,FALSE),"")&lt;&gt;"OK","ESTOQUE CENTRAL COM PENDÊNCIA",IF($E37="","CANAL AUSENTE",IF(COUNTIF('Configurações'!$A$11:$A$20,$E37)=0,"CANAL NÃO CONFIGURADO",IF(IFERROR(VLOOKUP($E37,'Configurações'!$A$11:$F$20,6,FALSE),"")&lt;&gt;"OK","CANAL COM PENDÊNCIA",IF(COUNTIFS($B$6:$B$305,$B37,$E$6:$E$305,$E37)&gt;1,"SKU/CANAL DUPLICADO",IF(IFERROR(OR(NOT(ISNUMBER($F37)),$F37&lt;0,MOD($F37,1)&lt;&gt;0),TRUE),"SALDO PUBLICADO INVÁLIDO",IF(IFERROR(OR(NOT(ISNUMBER($G37)),$G37&lt;0,MOD($G37,1)&lt;&gt;0),TRUE),"PEDIDOS PENDENTES INVÁLIDOS",IF(IFERROR(OR(NOT(ISNUMBER($R37)),$R37&gt;'Configurações'!$B$5),TRUE),"DATA INVÁLIDA","OK")))))))))))))</f>
        <v/>
      </c>
    </row>
    <row r="38">
      <c r="A38" s="21" t="n"/>
      <c r="B38" s="21" t="n"/>
      <c r="C38" s="27">
        <f>IFERROR(VLOOKUP($B38,'Estoque Central'!$A$6:$M$205,2,FALSE),"")</f>
        <v/>
      </c>
      <c r="D38" s="25">
        <f>IFERROR(VLOOKUP($B38,'Estoque Central'!$A$6:$M$205,3,FALSE),"")</f>
        <v/>
      </c>
      <c r="E38" s="21" t="n"/>
      <c r="F38" s="22" t="n"/>
      <c r="G38" s="22" t="n"/>
      <c r="H38" s="25">
        <f>IFERROR(VLOOKUP($E38,'Configurações'!$A$11:$F$20,2,FALSE),"")</f>
        <v/>
      </c>
      <c r="I38" s="28">
        <f>IFERROR(VLOOKUP($E38,'Configurações'!$A$11:$F$20,3,FALSE),"")</f>
        <v/>
      </c>
      <c r="J38" s="24">
        <f>IFERROR(VLOOKUP($E38,'Configurações'!$A$11:$F$20,4,FALSE),"")</f>
        <v/>
      </c>
      <c r="K38" s="24">
        <f>IFERROR(VLOOKUP($E38,'Configurações'!$A$11:$F$20,5,FALSE),"")</f>
        <v/>
      </c>
      <c r="L38" s="24">
        <f>IFERROR(VLOOKUP($B38,'Estoque Central'!$A$6:$M$205,9,FALSE),"")</f>
        <v/>
      </c>
      <c r="M38" s="24">
        <f>IF(COUNTA($A38:$B38,$E38:$G38,$R38)=0,"",IFERROR(IF(OR($C38="",$H38=""),"",IF(OR($D38&lt;&gt;"Ativo",$H38&lt;&gt;"Sim"),0,MIN(IF($J38="",$L38,$J38),ROUNDDOWN($L38*$I38,0)))),""))</f>
        <v/>
      </c>
      <c r="N38" s="24">
        <f>IF(OR($M38="",NOT(ISNUMBER($F38))),"",$M38-$F38)</f>
        <v/>
      </c>
      <c r="O38" s="25">
        <f>IF(COUNTA($A38:$B38,$E38:$G38,$R38)=0,"",IF($S38&lt;&gt;"OK","REVISAR CADASTRO",IF($N38&gt;0,"AUMENTAR",IF($N38&lt;0,"REDUZIR","SEM AÇÃO"))))</f>
        <v/>
      </c>
      <c r="P38" s="25">
        <f>IF(COUNTA($A38:$B38,$E38:$G38,$R38)=0,"",IF($S38&lt;&gt;"OK","REVISAR",IF(OR($D38&lt;&gt;"Ativo",$H38&lt;&gt;"Sim"),IF($F38&gt;0,"ALTO","SEM EXPOSIÇÃO"),IF(OR($F38&gt;$M38,SUMIFS($F$6:$F$305,$B$6:$B$305,$B38,$S$6:$S$305,"OK")&gt;$L38),"ALTO",IF(AND($F38&gt;0,$L38&lt;=$K38),"MÉDIO","BAIXO")))))</f>
        <v/>
      </c>
      <c r="Q38" s="25">
        <f>IF(COUNTA($A38:$B38,$E38:$G38,$R38)=0,"",IF($S38&lt;&gt;"OK","REVISAR",IF($O38="SEM AÇÃO","BAIXA",IF(OR($P38="ALTO",ABS($N38)&gt;='Configurações'!$B$3),"URGENTE",IF(OR($P38="MÉDIO",'Configurações'!$B$5-$R38&gt;'Configurações'!$B$4),"ALTA","NORMAL")))))</f>
        <v/>
      </c>
      <c r="R38" s="23" t="n"/>
      <c r="S38" s="25">
        <f>IF(COUNTA($A38:$B38,$E38:$G38,$R38)=0,"",IF($A38="","ID AUSENTE",IF(COUNTIF($A$6:$A$305,$A38)&gt;1,"ID DUPLICADO",IF($B38="","SKU AUSENTE",IF(COUNTIF('Estoque Central'!$A$6:$A$205,$B38)=0,"SKU NÃO CADASTRADO",IF(IFERROR(VLOOKUP($B38,'Estoque Central'!$A$6:$M$205,13,FALSE),"")&lt;&gt;"OK","ESTOQUE CENTRAL COM PENDÊNCIA",IF($E38="","CANAL AUSENTE",IF(COUNTIF('Configurações'!$A$11:$A$20,$E38)=0,"CANAL NÃO CONFIGURADO",IF(IFERROR(VLOOKUP($E38,'Configurações'!$A$11:$F$20,6,FALSE),"")&lt;&gt;"OK","CANAL COM PENDÊNCIA",IF(COUNTIFS($B$6:$B$305,$B38,$E$6:$E$305,$E38)&gt;1,"SKU/CANAL DUPLICADO",IF(IFERROR(OR(NOT(ISNUMBER($F38)),$F38&lt;0,MOD($F38,1)&lt;&gt;0),TRUE),"SALDO PUBLICADO INVÁLIDO",IF(IFERROR(OR(NOT(ISNUMBER($G38)),$G38&lt;0,MOD($G38,1)&lt;&gt;0),TRUE),"PEDIDOS PENDENTES INVÁLIDOS",IF(IFERROR(OR(NOT(ISNUMBER($R38)),$R38&gt;'Configurações'!$B$5),TRUE),"DATA INVÁLIDA","OK")))))))))))))</f>
        <v/>
      </c>
    </row>
    <row r="39">
      <c r="A39" s="21" t="n"/>
      <c r="B39" s="21" t="n"/>
      <c r="C39" s="27">
        <f>IFERROR(VLOOKUP($B39,'Estoque Central'!$A$6:$M$205,2,FALSE),"")</f>
        <v/>
      </c>
      <c r="D39" s="25">
        <f>IFERROR(VLOOKUP($B39,'Estoque Central'!$A$6:$M$205,3,FALSE),"")</f>
        <v/>
      </c>
      <c r="E39" s="21" t="n"/>
      <c r="F39" s="22" t="n"/>
      <c r="G39" s="22" t="n"/>
      <c r="H39" s="25">
        <f>IFERROR(VLOOKUP($E39,'Configurações'!$A$11:$F$20,2,FALSE),"")</f>
        <v/>
      </c>
      <c r="I39" s="28">
        <f>IFERROR(VLOOKUP($E39,'Configurações'!$A$11:$F$20,3,FALSE),"")</f>
        <v/>
      </c>
      <c r="J39" s="24">
        <f>IFERROR(VLOOKUP($E39,'Configurações'!$A$11:$F$20,4,FALSE),"")</f>
        <v/>
      </c>
      <c r="K39" s="24">
        <f>IFERROR(VLOOKUP($E39,'Configurações'!$A$11:$F$20,5,FALSE),"")</f>
        <v/>
      </c>
      <c r="L39" s="24">
        <f>IFERROR(VLOOKUP($B39,'Estoque Central'!$A$6:$M$205,9,FALSE),"")</f>
        <v/>
      </c>
      <c r="M39" s="24">
        <f>IF(COUNTA($A39:$B39,$E39:$G39,$R39)=0,"",IFERROR(IF(OR($C39="",$H39=""),"",IF(OR($D39&lt;&gt;"Ativo",$H39&lt;&gt;"Sim"),0,MIN(IF($J39="",$L39,$J39),ROUNDDOWN($L39*$I39,0)))),""))</f>
        <v/>
      </c>
      <c r="N39" s="24">
        <f>IF(OR($M39="",NOT(ISNUMBER($F39))),"",$M39-$F39)</f>
        <v/>
      </c>
      <c r="O39" s="25">
        <f>IF(COUNTA($A39:$B39,$E39:$G39,$R39)=0,"",IF($S39&lt;&gt;"OK","REVISAR CADASTRO",IF($N39&gt;0,"AUMENTAR",IF($N39&lt;0,"REDUZIR","SEM AÇÃO"))))</f>
        <v/>
      </c>
      <c r="P39" s="25">
        <f>IF(COUNTA($A39:$B39,$E39:$G39,$R39)=0,"",IF($S39&lt;&gt;"OK","REVISAR",IF(OR($D39&lt;&gt;"Ativo",$H39&lt;&gt;"Sim"),IF($F39&gt;0,"ALTO","SEM EXPOSIÇÃO"),IF(OR($F39&gt;$M39,SUMIFS($F$6:$F$305,$B$6:$B$305,$B39,$S$6:$S$305,"OK")&gt;$L39),"ALTO",IF(AND($F39&gt;0,$L39&lt;=$K39),"MÉDIO","BAIXO")))))</f>
        <v/>
      </c>
      <c r="Q39" s="25">
        <f>IF(COUNTA($A39:$B39,$E39:$G39,$R39)=0,"",IF($S39&lt;&gt;"OK","REVISAR",IF($O39="SEM AÇÃO","BAIXA",IF(OR($P39="ALTO",ABS($N39)&gt;='Configurações'!$B$3),"URGENTE",IF(OR($P39="MÉDIO",'Configurações'!$B$5-$R39&gt;'Configurações'!$B$4),"ALTA","NORMAL")))))</f>
        <v/>
      </c>
      <c r="R39" s="23" t="n"/>
      <c r="S39" s="25">
        <f>IF(COUNTA($A39:$B39,$E39:$G39,$R39)=0,"",IF($A39="","ID AUSENTE",IF(COUNTIF($A$6:$A$305,$A39)&gt;1,"ID DUPLICADO",IF($B39="","SKU AUSENTE",IF(COUNTIF('Estoque Central'!$A$6:$A$205,$B39)=0,"SKU NÃO CADASTRADO",IF(IFERROR(VLOOKUP($B39,'Estoque Central'!$A$6:$M$205,13,FALSE),"")&lt;&gt;"OK","ESTOQUE CENTRAL COM PENDÊNCIA",IF($E39="","CANAL AUSENTE",IF(COUNTIF('Configurações'!$A$11:$A$20,$E39)=0,"CANAL NÃO CONFIGURADO",IF(IFERROR(VLOOKUP($E39,'Configurações'!$A$11:$F$20,6,FALSE),"")&lt;&gt;"OK","CANAL COM PENDÊNCIA",IF(COUNTIFS($B$6:$B$305,$B39,$E$6:$E$305,$E39)&gt;1,"SKU/CANAL DUPLICADO",IF(IFERROR(OR(NOT(ISNUMBER($F39)),$F39&lt;0,MOD($F39,1)&lt;&gt;0),TRUE),"SALDO PUBLICADO INVÁLIDO",IF(IFERROR(OR(NOT(ISNUMBER($G39)),$G39&lt;0,MOD($G39,1)&lt;&gt;0),TRUE),"PEDIDOS PENDENTES INVÁLIDOS",IF(IFERROR(OR(NOT(ISNUMBER($R39)),$R39&gt;'Configurações'!$B$5),TRUE),"DATA INVÁLIDA","OK")))))))))))))</f>
        <v/>
      </c>
    </row>
    <row r="40">
      <c r="A40" s="21" t="n"/>
      <c r="B40" s="21" t="n"/>
      <c r="C40" s="27">
        <f>IFERROR(VLOOKUP($B40,'Estoque Central'!$A$6:$M$205,2,FALSE),"")</f>
        <v/>
      </c>
      <c r="D40" s="25">
        <f>IFERROR(VLOOKUP($B40,'Estoque Central'!$A$6:$M$205,3,FALSE),"")</f>
        <v/>
      </c>
      <c r="E40" s="21" t="n"/>
      <c r="F40" s="22" t="n"/>
      <c r="G40" s="22" t="n"/>
      <c r="H40" s="25">
        <f>IFERROR(VLOOKUP($E40,'Configurações'!$A$11:$F$20,2,FALSE),"")</f>
        <v/>
      </c>
      <c r="I40" s="28">
        <f>IFERROR(VLOOKUP($E40,'Configurações'!$A$11:$F$20,3,FALSE),"")</f>
        <v/>
      </c>
      <c r="J40" s="24">
        <f>IFERROR(VLOOKUP($E40,'Configurações'!$A$11:$F$20,4,FALSE),"")</f>
        <v/>
      </c>
      <c r="K40" s="24">
        <f>IFERROR(VLOOKUP($E40,'Configurações'!$A$11:$F$20,5,FALSE),"")</f>
        <v/>
      </c>
      <c r="L40" s="24">
        <f>IFERROR(VLOOKUP($B40,'Estoque Central'!$A$6:$M$205,9,FALSE),"")</f>
        <v/>
      </c>
      <c r="M40" s="24">
        <f>IF(COUNTA($A40:$B40,$E40:$G40,$R40)=0,"",IFERROR(IF(OR($C40="",$H40=""),"",IF(OR($D40&lt;&gt;"Ativo",$H40&lt;&gt;"Sim"),0,MIN(IF($J40="",$L40,$J40),ROUNDDOWN($L40*$I40,0)))),""))</f>
        <v/>
      </c>
      <c r="N40" s="24">
        <f>IF(OR($M40="",NOT(ISNUMBER($F40))),"",$M40-$F40)</f>
        <v/>
      </c>
      <c r="O40" s="25">
        <f>IF(COUNTA($A40:$B40,$E40:$G40,$R40)=0,"",IF($S40&lt;&gt;"OK","REVISAR CADASTRO",IF($N40&gt;0,"AUMENTAR",IF($N40&lt;0,"REDUZIR","SEM AÇÃO"))))</f>
        <v/>
      </c>
      <c r="P40" s="25">
        <f>IF(COUNTA($A40:$B40,$E40:$G40,$R40)=0,"",IF($S40&lt;&gt;"OK","REVISAR",IF(OR($D40&lt;&gt;"Ativo",$H40&lt;&gt;"Sim"),IF($F40&gt;0,"ALTO","SEM EXPOSIÇÃO"),IF(OR($F40&gt;$M40,SUMIFS($F$6:$F$305,$B$6:$B$305,$B40,$S$6:$S$305,"OK")&gt;$L40),"ALTO",IF(AND($F40&gt;0,$L40&lt;=$K40),"MÉDIO","BAIXO")))))</f>
        <v/>
      </c>
      <c r="Q40" s="25">
        <f>IF(COUNTA($A40:$B40,$E40:$G40,$R40)=0,"",IF($S40&lt;&gt;"OK","REVISAR",IF($O40="SEM AÇÃO","BAIXA",IF(OR($P40="ALTO",ABS($N40)&gt;='Configurações'!$B$3),"URGENTE",IF(OR($P40="MÉDIO",'Configurações'!$B$5-$R40&gt;'Configurações'!$B$4),"ALTA","NORMAL")))))</f>
        <v/>
      </c>
      <c r="R40" s="23" t="n"/>
      <c r="S40" s="25">
        <f>IF(COUNTA($A40:$B40,$E40:$G40,$R40)=0,"",IF($A40="","ID AUSENTE",IF(COUNTIF($A$6:$A$305,$A40)&gt;1,"ID DUPLICADO",IF($B40="","SKU AUSENTE",IF(COUNTIF('Estoque Central'!$A$6:$A$205,$B40)=0,"SKU NÃO CADASTRADO",IF(IFERROR(VLOOKUP($B40,'Estoque Central'!$A$6:$M$205,13,FALSE),"")&lt;&gt;"OK","ESTOQUE CENTRAL COM PENDÊNCIA",IF($E40="","CANAL AUSENTE",IF(COUNTIF('Configurações'!$A$11:$A$20,$E40)=0,"CANAL NÃO CONFIGURADO",IF(IFERROR(VLOOKUP($E40,'Configurações'!$A$11:$F$20,6,FALSE),"")&lt;&gt;"OK","CANAL COM PENDÊNCIA",IF(COUNTIFS($B$6:$B$305,$B40,$E$6:$E$305,$E40)&gt;1,"SKU/CANAL DUPLICADO",IF(IFERROR(OR(NOT(ISNUMBER($F40)),$F40&lt;0,MOD($F40,1)&lt;&gt;0),TRUE),"SALDO PUBLICADO INVÁLIDO",IF(IFERROR(OR(NOT(ISNUMBER($G40)),$G40&lt;0,MOD($G40,1)&lt;&gt;0),TRUE),"PEDIDOS PENDENTES INVÁLIDOS",IF(IFERROR(OR(NOT(ISNUMBER($R40)),$R40&gt;'Configurações'!$B$5),TRUE),"DATA INVÁLIDA","OK")))))))))))))</f>
        <v/>
      </c>
    </row>
    <row r="41">
      <c r="A41" s="21" t="n"/>
      <c r="B41" s="21" t="n"/>
      <c r="C41" s="27">
        <f>IFERROR(VLOOKUP($B41,'Estoque Central'!$A$6:$M$205,2,FALSE),"")</f>
        <v/>
      </c>
      <c r="D41" s="25">
        <f>IFERROR(VLOOKUP($B41,'Estoque Central'!$A$6:$M$205,3,FALSE),"")</f>
        <v/>
      </c>
      <c r="E41" s="21" t="n"/>
      <c r="F41" s="22" t="n"/>
      <c r="G41" s="22" t="n"/>
      <c r="H41" s="25">
        <f>IFERROR(VLOOKUP($E41,'Configurações'!$A$11:$F$20,2,FALSE),"")</f>
        <v/>
      </c>
      <c r="I41" s="28">
        <f>IFERROR(VLOOKUP($E41,'Configurações'!$A$11:$F$20,3,FALSE),"")</f>
        <v/>
      </c>
      <c r="J41" s="24">
        <f>IFERROR(VLOOKUP($E41,'Configurações'!$A$11:$F$20,4,FALSE),"")</f>
        <v/>
      </c>
      <c r="K41" s="24">
        <f>IFERROR(VLOOKUP($E41,'Configurações'!$A$11:$F$20,5,FALSE),"")</f>
        <v/>
      </c>
      <c r="L41" s="24">
        <f>IFERROR(VLOOKUP($B41,'Estoque Central'!$A$6:$M$205,9,FALSE),"")</f>
        <v/>
      </c>
      <c r="M41" s="24">
        <f>IF(COUNTA($A41:$B41,$E41:$G41,$R41)=0,"",IFERROR(IF(OR($C41="",$H41=""),"",IF(OR($D41&lt;&gt;"Ativo",$H41&lt;&gt;"Sim"),0,MIN(IF($J41="",$L41,$J41),ROUNDDOWN($L41*$I41,0)))),""))</f>
        <v/>
      </c>
      <c r="N41" s="24">
        <f>IF(OR($M41="",NOT(ISNUMBER($F41))),"",$M41-$F41)</f>
        <v/>
      </c>
      <c r="O41" s="25">
        <f>IF(COUNTA($A41:$B41,$E41:$G41,$R41)=0,"",IF($S41&lt;&gt;"OK","REVISAR CADASTRO",IF($N41&gt;0,"AUMENTAR",IF($N41&lt;0,"REDUZIR","SEM AÇÃO"))))</f>
        <v/>
      </c>
      <c r="P41" s="25">
        <f>IF(COUNTA($A41:$B41,$E41:$G41,$R41)=0,"",IF($S41&lt;&gt;"OK","REVISAR",IF(OR($D41&lt;&gt;"Ativo",$H41&lt;&gt;"Sim"),IF($F41&gt;0,"ALTO","SEM EXPOSIÇÃO"),IF(OR($F41&gt;$M41,SUMIFS($F$6:$F$305,$B$6:$B$305,$B41,$S$6:$S$305,"OK")&gt;$L41),"ALTO",IF(AND($F41&gt;0,$L41&lt;=$K41),"MÉDIO","BAIXO")))))</f>
        <v/>
      </c>
      <c r="Q41" s="25">
        <f>IF(COUNTA($A41:$B41,$E41:$G41,$R41)=0,"",IF($S41&lt;&gt;"OK","REVISAR",IF($O41="SEM AÇÃO","BAIXA",IF(OR($P41="ALTO",ABS($N41)&gt;='Configurações'!$B$3),"URGENTE",IF(OR($P41="MÉDIO",'Configurações'!$B$5-$R41&gt;'Configurações'!$B$4),"ALTA","NORMAL")))))</f>
        <v/>
      </c>
      <c r="R41" s="23" t="n"/>
      <c r="S41" s="25">
        <f>IF(COUNTA($A41:$B41,$E41:$G41,$R41)=0,"",IF($A41="","ID AUSENTE",IF(COUNTIF($A$6:$A$305,$A41)&gt;1,"ID DUPLICADO",IF($B41="","SKU AUSENTE",IF(COUNTIF('Estoque Central'!$A$6:$A$205,$B41)=0,"SKU NÃO CADASTRADO",IF(IFERROR(VLOOKUP($B41,'Estoque Central'!$A$6:$M$205,13,FALSE),"")&lt;&gt;"OK","ESTOQUE CENTRAL COM PENDÊNCIA",IF($E41="","CANAL AUSENTE",IF(COUNTIF('Configurações'!$A$11:$A$20,$E41)=0,"CANAL NÃO CONFIGURADO",IF(IFERROR(VLOOKUP($E41,'Configurações'!$A$11:$F$20,6,FALSE),"")&lt;&gt;"OK","CANAL COM PENDÊNCIA",IF(COUNTIFS($B$6:$B$305,$B41,$E$6:$E$305,$E41)&gt;1,"SKU/CANAL DUPLICADO",IF(IFERROR(OR(NOT(ISNUMBER($F41)),$F41&lt;0,MOD($F41,1)&lt;&gt;0),TRUE),"SALDO PUBLICADO INVÁLIDO",IF(IFERROR(OR(NOT(ISNUMBER($G41)),$G41&lt;0,MOD($G41,1)&lt;&gt;0),TRUE),"PEDIDOS PENDENTES INVÁLIDOS",IF(IFERROR(OR(NOT(ISNUMBER($R41)),$R41&gt;'Configurações'!$B$5),TRUE),"DATA INVÁLIDA","OK")))))))))))))</f>
        <v/>
      </c>
    </row>
    <row r="42">
      <c r="A42" s="21" t="n"/>
      <c r="B42" s="21" t="n"/>
      <c r="C42" s="27">
        <f>IFERROR(VLOOKUP($B42,'Estoque Central'!$A$6:$M$205,2,FALSE),"")</f>
        <v/>
      </c>
      <c r="D42" s="25">
        <f>IFERROR(VLOOKUP($B42,'Estoque Central'!$A$6:$M$205,3,FALSE),"")</f>
        <v/>
      </c>
      <c r="E42" s="21" t="n"/>
      <c r="F42" s="22" t="n"/>
      <c r="G42" s="22" t="n"/>
      <c r="H42" s="25">
        <f>IFERROR(VLOOKUP($E42,'Configurações'!$A$11:$F$20,2,FALSE),"")</f>
        <v/>
      </c>
      <c r="I42" s="28">
        <f>IFERROR(VLOOKUP($E42,'Configurações'!$A$11:$F$20,3,FALSE),"")</f>
        <v/>
      </c>
      <c r="J42" s="24">
        <f>IFERROR(VLOOKUP($E42,'Configurações'!$A$11:$F$20,4,FALSE),"")</f>
        <v/>
      </c>
      <c r="K42" s="24">
        <f>IFERROR(VLOOKUP($E42,'Configurações'!$A$11:$F$20,5,FALSE),"")</f>
        <v/>
      </c>
      <c r="L42" s="24">
        <f>IFERROR(VLOOKUP($B42,'Estoque Central'!$A$6:$M$205,9,FALSE),"")</f>
        <v/>
      </c>
      <c r="M42" s="24">
        <f>IF(COUNTA($A42:$B42,$E42:$G42,$R42)=0,"",IFERROR(IF(OR($C42="",$H42=""),"",IF(OR($D42&lt;&gt;"Ativo",$H42&lt;&gt;"Sim"),0,MIN(IF($J42="",$L42,$J42),ROUNDDOWN($L42*$I42,0)))),""))</f>
        <v/>
      </c>
      <c r="N42" s="24">
        <f>IF(OR($M42="",NOT(ISNUMBER($F42))),"",$M42-$F42)</f>
        <v/>
      </c>
      <c r="O42" s="25">
        <f>IF(COUNTA($A42:$B42,$E42:$G42,$R42)=0,"",IF($S42&lt;&gt;"OK","REVISAR CADASTRO",IF($N42&gt;0,"AUMENTAR",IF($N42&lt;0,"REDUZIR","SEM AÇÃO"))))</f>
        <v/>
      </c>
      <c r="P42" s="25">
        <f>IF(COUNTA($A42:$B42,$E42:$G42,$R42)=0,"",IF($S42&lt;&gt;"OK","REVISAR",IF(OR($D42&lt;&gt;"Ativo",$H42&lt;&gt;"Sim"),IF($F42&gt;0,"ALTO","SEM EXPOSIÇÃO"),IF(OR($F42&gt;$M42,SUMIFS($F$6:$F$305,$B$6:$B$305,$B42,$S$6:$S$305,"OK")&gt;$L42),"ALTO",IF(AND($F42&gt;0,$L42&lt;=$K42),"MÉDIO","BAIXO")))))</f>
        <v/>
      </c>
      <c r="Q42" s="25">
        <f>IF(COUNTA($A42:$B42,$E42:$G42,$R42)=0,"",IF($S42&lt;&gt;"OK","REVISAR",IF($O42="SEM AÇÃO","BAIXA",IF(OR($P42="ALTO",ABS($N42)&gt;='Configurações'!$B$3),"URGENTE",IF(OR($P42="MÉDIO",'Configurações'!$B$5-$R42&gt;'Configurações'!$B$4),"ALTA","NORMAL")))))</f>
        <v/>
      </c>
      <c r="R42" s="23" t="n"/>
      <c r="S42" s="25">
        <f>IF(COUNTA($A42:$B42,$E42:$G42,$R42)=0,"",IF($A42="","ID AUSENTE",IF(COUNTIF($A$6:$A$305,$A42)&gt;1,"ID DUPLICADO",IF($B42="","SKU AUSENTE",IF(COUNTIF('Estoque Central'!$A$6:$A$205,$B42)=0,"SKU NÃO CADASTRADO",IF(IFERROR(VLOOKUP($B42,'Estoque Central'!$A$6:$M$205,13,FALSE),"")&lt;&gt;"OK","ESTOQUE CENTRAL COM PENDÊNCIA",IF($E42="","CANAL AUSENTE",IF(COUNTIF('Configurações'!$A$11:$A$20,$E42)=0,"CANAL NÃO CONFIGURADO",IF(IFERROR(VLOOKUP($E42,'Configurações'!$A$11:$F$20,6,FALSE),"")&lt;&gt;"OK","CANAL COM PENDÊNCIA",IF(COUNTIFS($B$6:$B$305,$B42,$E$6:$E$305,$E42)&gt;1,"SKU/CANAL DUPLICADO",IF(IFERROR(OR(NOT(ISNUMBER($F42)),$F42&lt;0,MOD($F42,1)&lt;&gt;0),TRUE),"SALDO PUBLICADO INVÁLIDO",IF(IFERROR(OR(NOT(ISNUMBER($G42)),$G42&lt;0,MOD($G42,1)&lt;&gt;0),TRUE),"PEDIDOS PENDENTES INVÁLIDOS",IF(IFERROR(OR(NOT(ISNUMBER($R42)),$R42&gt;'Configurações'!$B$5),TRUE),"DATA INVÁLIDA","OK")))))))))))))</f>
        <v/>
      </c>
    </row>
    <row r="43">
      <c r="A43" s="21" t="n"/>
      <c r="B43" s="21" t="n"/>
      <c r="C43" s="27">
        <f>IFERROR(VLOOKUP($B43,'Estoque Central'!$A$6:$M$205,2,FALSE),"")</f>
        <v/>
      </c>
      <c r="D43" s="25">
        <f>IFERROR(VLOOKUP($B43,'Estoque Central'!$A$6:$M$205,3,FALSE),"")</f>
        <v/>
      </c>
      <c r="E43" s="21" t="n"/>
      <c r="F43" s="22" t="n"/>
      <c r="G43" s="22" t="n"/>
      <c r="H43" s="25">
        <f>IFERROR(VLOOKUP($E43,'Configurações'!$A$11:$F$20,2,FALSE),"")</f>
        <v/>
      </c>
      <c r="I43" s="28">
        <f>IFERROR(VLOOKUP($E43,'Configurações'!$A$11:$F$20,3,FALSE),"")</f>
        <v/>
      </c>
      <c r="J43" s="24">
        <f>IFERROR(VLOOKUP($E43,'Configurações'!$A$11:$F$20,4,FALSE),"")</f>
        <v/>
      </c>
      <c r="K43" s="24">
        <f>IFERROR(VLOOKUP($E43,'Configurações'!$A$11:$F$20,5,FALSE),"")</f>
        <v/>
      </c>
      <c r="L43" s="24">
        <f>IFERROR(VLOOKUP($B43,'Estoque Central'!$A$6:$M$205,9,FALSE),"")</f>
        <v/>
      </c>
      <c r="M43" s="24">
        <f>IF(COUNTA($A43:$B43,$E43:$G43,$R43)=0,"",IFERROR(IF(OR($C43="",$H43=""),"",IF(OR($D43&lt;&gt;"Ativo",$H43&lt;&gt;"Sim"),0,MIN(IF($J43="",$L43,$J43),ROUNDDOWN($L43*$I43,0)))),""))</f>
        <v/>
      </c>
      <c r="N43" s="24">
        <f>IF(OR($M43="",NOT(ISNUMBER($F43))),"",$M43-$F43)</f>
        <v/>
      </c>
      <c r="O43" s="25">
        <f>IF(COUNTA($A43:$B43,$E43:$G43,$R43)=0,"",IF($S43&lt;&gt;"OK","REVISAR CADASTRO",IF($N43&gt;0,"AUMENTAR",IF($N43&lt;0,"REDUZIR","SEM AÇÃO"))))</f>
        <v/>
      </c>
      <c r="P43" s="25">
        <f>IF(COUNTA($A43:$B43,$E43:$G43,$R43)=0,"",IF($S43&lt;&gt;"OK","REVISAR",IF(OR($D43&lt;&gt;"Ativo",$H43&lt;&gt;"Sim"),IF($F43&gt;0,"ALTO","SEM EXPOSIÇÃO"),IF(OR($F43&gt;$M43,SUMIFS($F$6:$F$305,$B$6:$B$305,$B43,$S$6:$S$305,"OK")&gt;$L43),"ALTO",IF(AND($F43&gt;0,$L43&lt;=$K43),"MÉDIO","BAIXO")))))</f>
        <v/>
      </c>
      <c r="Q43" s="25">
        <f>IF(COUNTA($A43:$B43,$E43:$G43,$R43)=0,"",IF($S43&lt;&gt;"OK","REVISAR",IF($O43="SEM AÇÃO","BAIXA",IF(OR($P43="ALTO",ABS($N43)&gt;='Configurações'!$B$3),"URGENTE",IF(OR($P43="MÉDIO",'Configurações'!$B$5-$R43&gt;'Configurações'!$B$4),"ALTA","NORMAL")))))</f>
        <v/>
      </c>
      <c r="R43" s="23" t="n"/>
      <c r="S43" s="25">
        <f>IF(COUNTA($A43:$B43,$E43:$G43,$R43)=0,"",IF($A43="","ID AUSENTE",IF(COUNTIF($A$6:$A$305,$A43)&gt;1,"ID DUPLICADO",IF($B43="","SKU AUSENTE",IF(COUNTIF('Estoque Central'!$A$6:$A$205,$B43)=0,"SKU NÃO CADASTRADO",IF(IFERROR(VLOOKUP($B43,'Estoque Central'!$A$6:$M$205,13,FALSE),"")&lt;&gt;"OK","ESTOQUE CENTRAL COM PENDÊNCIA",IF($E43="","CANAL AUSENTE",IF(COUNTIF('Configurações'!$A$11:$A$20,$E43)=0,"CANAL NÃO CONFIGURADO",IF(IFERROR(VLOOKUP($E43,'Configurações'!$A$11:$F$20,6,FALSE),"")&lt;&gt;"OK","CANAL COM PENDÊNCIA",IF(COUNTIFS($B$6:$B$305,$B43,$E$6:$E$305,$E43)&gt;1,"SKU/CANAL DUPLICADO",IF(IFERROR(OR(NOT(ISNUMBER($F43)),$F43&lt;0,MOD($F43,1)&lt;&gt;0),TRUE),"SALDO PUBLICADO INVÁLIDO",IF(IFERROR(OR(NOT(ISNUMBER($G43)),$G43&lt;0,MOD($G43,1)&lt;&gt;0),TRUE),"PEDIDOS PENDENTES INVÁLIDOS",IF(IFERROR(OR(NOT(ISNUMBER($R43)),$R43&gt;'Configurações'!$B$5),TRUE),"DATA INVÁLIDA","OK")))))))))))))</f>
        <v/>
      </c>
    </row>
    <row r="44">
      <c r="A44" s="21" t="n"/>
      <c r="B44" s="21" t="n"/>
      <c r="C44" s="27">
        <f>IFERROR(VLOOKUP($B44,'Estoque Central'!$A$6:$M$205,2,FALSE),"")</f>
        <v/>
      </c>
      <c r="D44" s="25">
        <f>IFERROR(VLOOKUP($B44,'Estoque Central'!$A$6:$M$205,3,FALSE),"")</f>
        <v/>
      </c>
      <c r="E44" s="21" t="n"/>
      <c r="F44" s="22" t="n"/>
      <c r="G44" s="22" t="n"/>
      <c r="H44" s="25">
        <f>IFERROR(VLOOKUP($E44,'Configurações'!$A$11:$F$20,2,FALSE),"")</f>
        <v/>
      </c>
      <c r="I44" s="28">
        <f>IFERROR(VLOOKUP($E44,'Configurações'!$A$11:$F$20,3,FALSE),"")</f>
        <v/>
      </c>
      <c r="J44" s="24">
        <f>IFERROR(VLOOKUP($E44,'Configurações'!$A$11:$F$20,4,FALSE),"")</f>
        <v/>
      </c>
      <c r="K44" s="24">
        <f>IFERROR(VLOOKUP($E44,'Configurações'!$A$11:$F$20,5,FALSE),"")</f>
        <v/>
      </c>
      <c r="L44" s="24">
        <f>IFERROR(VLOOKUP($B44,'Estoque Central'!$A$6:$M$205,9,FALSE),"")</f>
        <v/>
      </c>
      <c r="M44" s="24">
        <f>IF(COUNTA($A44:$B44,$E44:$G44,$R44)=0,"",IFERROR(IF(OR($C44="",$H44=""),"",IF(OR($D44&lt;&gt;"Ativo",$H44&lt;&gt;"Sim"),0,MIN(IF($J44="",$L44,$J44),ROUNDDOWN($L44*$I44,0)))),""))</f>
        <v/>
      </c>
      <c r="N44" s="24">
        <f>IF(OR($M44="",NOT(ISNUMBER($F44))),"",$M44-$F44)</f>
        <v/>
      </c>
      <c r="O44" s="25">
        <f>IF(COUNTA($A44:$B44,$E44:$G44,$R44)=0,"",IF($S44&lt;&gt;"OK","REVISAR CADASTRO",IF($N44&gt;0,"AUMENTAR",IF($N44&lt;0,"REDUZIR","SEM AÇÃO"))))</f>
        <v/>
      </c>
      <c r="P44" s="25">
        <f>IF(COUNTA($A44:$B44,$E44:$G44,$R44)=0,"",IF($S44&lt;&gt;"OK","REVISAR",IF(OR($D44&lt;&gt;"Ativo",$H44&lt;&gt;"Sim"),IF($F44&gt;0,"ALTO","SEM EXPOSIÇÃO"),IF(OR($F44&gt;$M44,SUMIFS($F$6:$F$305,$B$6:$B$305,$B44,$S$6:$S$305,"OK")&gt;$L44),"ALTO",IF(AND($F44&gt;0,$L44&lt;=$K44),"MÉDIO","BAIXO")))))</f>
        <v/>
      </c>
      <c r="Q44" s="25">
        <f>IF(COUNTA($A44:$B44,$E44:$G44,$R44)=0,"",IF($S44&lt;&gt;"OK","REVISAR",IF($O44="SEM AÇÃO","BAIXA",IF(OR($P44="ALTO",ABS($N44)&gt;='Configurações'!$B$3),"URGENTE",IF(OR($P44="MÉDIO",'Configurações'!$B$5-$R44&gt;'Configurações'!$B$4),"ALTA","NORMAL")))))</f>
        <v/>
      </c>
      <c r="R44" s="23" t="n"/>
      <c r="S44" s="25">
        <f>IF(COUNTA($A44:$B44,$E44:$G44,$R44)=0,"",IF($A44="","ID AUSENTE",IF(COUNTIF($A$6:$A$305,$A44)&gt;1,"ID DUPLICADO",IF($B44="","SKU AUSENTE",IF(COUNTIF('Estoque Central'!$A$6:$A$205,$B44)=0,"SKU NÃO CADASTRADO",IF(IFERROR(VLOOKUP($B44,'Estoque Central'!$A$6:$M$205,13,FALSE),"")&lt;&gt;"OK","ESTOQUE CENTRAL COM PENDÊNCIA",IF($E44="","CANAL AUSENTE",IF(COUNTIF('Configurações'!$A$11:$A$20,$E44)=0,"CANAL NÃO CONFIGURADO",IF(IFERROR(VLOOKUP($E44,'Configurações'!$A$11:$F$20,6,FALSE),"")&lt;&gt;"OK","CANAL COM PENDÊNCIA",IF(COUNTIFS($B$6:$B$305,$B44,$E$6:$E$305,$E44)&gt;1,"SKU/CANAL DUPLICADO",IF(IFERROR(OR(NOT(ISNUMBER($F44)),$F44&lt;0,MOD($F44,1)&lt;&gt;0),TRUE),"SALDO PUBLICADO INVÁLIDO",IF(IFERROR(OR(NOT(ISNUMBER($G44)),$G44&lt;0,MOD($G44,1)&lt;&gt;0),TRUE),"PEDIDOS PENDENTES INVÁLIDOS",IF(IFERROR(OR(NOT(ISNUMBER($R44)),$R44&gt;'Configurações'!$B$5),TRUE),"DATA INVÁLIDA","OK")))))))))))))</f>
        <v/>
      </c>
    </row>
    <row r="45">
      <c r="A45" s="21" t="n"/>
      <c r="B45" s="21" t="n"/>
      <c r="C45" s="27">
        <f>IFERROR(VLOOKUP($B45,'Estoque Central'!$A$6:$M$205,2,FALSE),"")</f>
        <v/>
      </c>
      <c r="D45" s="25">
        <f>IFERROR(VLOOKUP($B45,'Estoque Central'!$A$6:$M$205,3,FALSE),"")</f>
        <v/>
      </c>
      <c r="E45" s="21" t="n"/>
      <c r="F45" s="22" t="n"/>
      <c r="G45" s="22" t="n"/>
      <c r="H45" s="25">
        <f>IFERROR(VLOOKUP($E45,'Configurações'!$A$11:$F$20,2,FALSE),"")</f>
        <v/>
      </c>
      <c r="I45" s="28">
        <f>IFERROR(VLOOKUP($E45,'Configurações'!$A$11:$F$20,3,FALSE),"")</f>
        <v/>
      </c>
      <c r="J45" s="24">
        <f>IFERROR(VLOOKUP($E45,'Configurações'!$A$11:$F$20,4,FALSE),"")</f>
        <v/>
      </c>
      <c r="K45" s="24">
        <f>IFERROR(VLOOKUP($E45,'Configurações'!$A$11:$F$20,5,FALSE),"")</f>
        <v/>
      </c>
      <c r="L45" s="24">
        <f>IFERROR(VLOOKUP($B45,'Estoque Central'!$A$6:$M$205,9,FALSE),"")</f>
        <v/>
      </c>
      <c r="M45" s="24">
        <f>IF(COUNTA($A45:$B45,$E45:$G45,$R45)=0,"",IFERROR(IF(OR($C45="",$H45=""),"",IF(OR($D45&lt;&gt;"Ativo",$H45&lt;&gt;"Sim"),0,MIN(IF($J45="",$L45,$J45),ROUNDDOWN($L45*$I45,0)))),""))</f>
        <v/>
      </c>
      <c r="N45" s="24">
        <f>IF(OR($M45="",NOT(ISNUMBER($F45))),"",$M45-$F45)</f>
        <v/>
      </c>
      <c r="O45" s="25">
        <f>IF(COUNTA($A45:$B45,$E45:$G45,$R45)=0,"",IF($S45&lt;&gt;"OK","REVISAR CADASTRO",IF($N45&gt;0,"AUMENTAR",IF($N45&lt;0,"REDUZIR","SEM AÇÃO"))))</f>
        <v/>
      </c>
      <c r="P45" s="25">
        <f>IF(COUNTA($A45:$B45,$E45:$G45,$R45)=0,"",IF($S45&lt;&gt;"OK","REVISAR",IF(OR($D45&lt;&gt;"Ativo",$H45&lt;&gt;"Sim"),IF($F45&gt;0,"ALTO","SEM EXPOSIÇÃO"),IF(OR($F45&gt;$M45,SUMIFS($F$6:$F$305,$B$6:$B$305,$B45,$S$6:$S$305,"OK")&gt;$L45),"ALTO",IF(AND($F45&gt;0,$L45&lt;=$K45),"MÉDIO","BAIXO")))))</f>
        <v/>
      </c>
      <c r="Q45" s="25">
        <f>IF(COUNTA($A45:$B45,$E45:$G45,$R45)=0,"",IF($S45&lt;&gt;"OK","REVISAR",IF($O45="SEM AÇÃO","BAIXA",IF(OR($P45="ALTO",ABS($N45)&gt;='Configurações'!$B$3),"URGENTE",IF(OR($P45="MÉDIO",'Configurações'!$B$5-$R45&gt;'Configurações'!$B$4),"ALTA","NORMAL")))))</f>
        <v/>
      </c>
      <c r="R45" s="23" t="n"/>
      <c r="S45" s="25">
        <f>IF(COUNTA($A45:$B45,$E45:$G45,$R45)=0,"",IF($A45="","ID AUSENTE",IF(COUNTIF($A$6:$A$305,$A45)&gt;1,"ID DUPLICADO",IF($B45="","SKU AUSENTE",IF(COUNTIF('Estoque Central'!$A$6:$A$205,$B45)=0,"SKU NÃO CADASTRADO",IF(IFERROR(VLOOKUP($B45,'Estoque Central'!$A$6:$M$205,13,FALSE),"")&lt;&gt;"OK","ESTOQUE CENTRAL COM PENDÊNCIA",IF($E45="","CANAL AUSENTE",IF(COUNTIF('Configurações'!$A$11:$A$20,$E45)=0,"CANAL NÃO CONFIGURADO",IF(IFERROR(VLOOKUP($E45,'Configurações'!$A$11:$F$20,6,FALSE),"")&lt;&gt;"OK","CANAL COM PENDÊNCIA",IF(COUNTIFS($B$6:$B$305,$B45,$E$6:$E$305,$E45)&gt;1,"SKU/CANAL DUPLICADO",IF(IFERROR(OR(NOT(ISNUMBER($F45)),$F45&lt;0,MOD($F45,1)&lt;&gt;0),TRUE),"SALDO PUBLICADO INVÁLIDO",IF(IFERROR(OR(NOT(ISNUMBER($G45)),$G45&lt;0,MOD($G45,1)&lt;&gt;0),TRUE),"PEDIDOS PENDENTES INVÁLIDOS",IF(IFERROR(OR(NOT(ISNUMBER($R45)),$R45&gt;'Configurações'!$B$5),TRUE),"DATA INVÁLIDA","OK")))))))))))))</f>
        <v/>
      </c>
    </row>
    <row r="46">
      <c r="A46" s="21" t="n"/>
      <c r="B46" s="21" t="n"/>
      <c r="C46" s="27">
        <f>IFERROR(VLOOKUP($B46,'Estoque Central'!$A$6:$M$205,2,FALSE),"")</f>
        <v/>
      </c>
      <c r="D46" s="25">
        <f>IFERROR(VLOOKUP($B46,'Estoque Central'!$A$6:$M$205,3,FALSE),"")</f>
        <v/>
      </c>
      <c r="E46" s="21" t="n"/>
      <c r="F46" s="22" t="n"/>
      <c r="G46" s="22" t="n"/>
      <c r="H46" s="25">
        <f>IFERROR(VLOOKUP($E46,'Configurações'!$A$11:$F$20,2,FALSE),"")</f>
        <v/>
      </c>
      <c r="I46" s="28">
        <f>IFERROR(VLOOKUP($E46,'Configurações'!$A$11:$F$20,3,FALSE),"")</f>
        <v/>
      </c>
      <c r="J46" s="24">
        <f>IFERROR(VLOOKUP($E46,'Configurações'!$A$11:$F$20,4,FALSE),"")</f>
        <v/>
      </c>
      <c r="K46" s="24">
        <f>IFERROR(VLOOKUP($E46,'Configurações'!$A$11:$F$20,5,FALSE),"")</f>
        <v/>
      </c>
      <c r="L46" s="24">
        <f>IFERROR(VLOOKUP($B46,'Estoque Central'!$A$6:$M$205,9,FALSE),"")</f>
        <v/>
      </c>
      <c r="M46" s="24">
        <f>IF(COUNTA($A46:$B46,$E46:$G46,$R46)=0,"",IFERROR(IF(OR($C46="",$H46=""),"",IF(OR($D46&lt;&gt;"Ativo",$H46&lt;&gt;"Sim"),0,MIN(IF($J46="",$L46,$J46),ROUNDDOWN($L46*$I46,0)))),""))</f>
        <v/>
      </c>
      <c r="N46" s="24">
        <f>IF(OR($M46="",NOT(ISNUMBER($F46))),"",$M46-$F46)</f>
        <v/>
      </c>
      <c r="O46" s="25">
        <f>IF(COUNTA($A46:$B46,$E46:$G46,$R46)=0,"",IF($S46&lt;&gt;"OK","REVISAR CADASTRO",IF($N46&gt;0,"AUMENTAR",IF($N46&lt;0,"REDUZIR","SEM AÇÃO"))))</f>
        <v/>
      </c>
      <c r="P46" s="25">
        <f>IF(COUNTA($A46:$B46,$E46:$G46,$R46)=0,"",IF($S46&lt;&gt;"OK","REVISAR",IF(OR($D46&lt;&gt;"Ativo",$H46&lt;&gt;"Sim"),IF($F46&gt;0,"ALTO","SEM EXPOSIÇÃO"),IF(OR($F46&gt;$M46,SUMIFS($F$6:$F$305,$B$6:$B$305,$B46,$S$6:$S$305,"OK")&gt;$L46),"ALTO",IF(AND($F46&gt;0,$L46&lt;=$K46),"MÉDIO","BAIXO")))))</f>
        <v/>
      </c>
      <c r="Q46" s="25">
        <f>IF(COUNTA($A46:$B46,$E46:$G46,$R46)=0,"",IF($S46&lt;&gt;"OK","REVISAR",IF($O46="SEM AÇÃO","BAIXA",IF(OR($P46="ALTO",ABS($N46)&gt;='Configurações'!$B$3),"URGENTE",IF(OR($P46="MÉDIO",'Configurações'!$B$5-$R46&gt;'Configurações'!$B$4),"ALTA","NORMAL")))))</f>
        <v/>
      </c>
      <c r="R46" s="23" t="n"/>
      <c r="S46" s="25">
        <f>IF(COUNTA($A46:$B46,$E46:$G46,$R46)=0,"",IF($A46="","ID AUSENTE",IF(COUNTIF($A$6:$A$305,$A46)&gt;1,"ID DUPLICADO",IF($B46="","SKU AUSENTE",IF(COUNTIF('Estoque Central'!$A$6:$A$205,$B46)=0,"SKU NÃO CADASTRADO",IF(IFERROR(VLOOKUP($B46,'Estoque Central'!$A$6:$M$205,13,FALSE),"")&lt;&gt;"OK","ESTOQUE CENTRAL COM PENDÊNCIA",IF($E46="","CANAL AUSENTE",IF(COUNTIF('Configurações'!$A$11:$A$20,$E46)=0,"CANAL NÃO CONFIGURADO",IF(IFERROR(VLOOKUP($E46,'Configurações'!$A$11:$F$20,6,FALSE),"")&lt;&gt;"OK","CANAL COM PENDÊNCIA",IF(COUNTIFS($B$6:$B$305,$B46,$E$6:$E$305,$E46)&gt;1,"SKU/CANAL DUPLICADO",IF(IFERROR(OR(NOT(ISNUMBER($F46)),$F46&lt;0,MOD($F46,1)&lt;&gt;0),TRUE),"SALDO PUBLICADO INVÁLIDO",IF(IFERROR(OR(NOT(ISNUMBER($G46)),$G46&lt;0,MOD($G46,1)&lt;&gt;0),TRUE),"PEDIDOS PENDENTES INVÁLIDOS",IF(IFERROR(OR(NOT(ISNUMBER($R46)),$R46&gt;'Configurações'!$B$5),TRUE),"DATA INVÁLIDA","OK")))))))))))))</f>
        <v/>
      </c>
    </row>
    <row r="47">
      <c r="A47" s="21" t="n"/>
      <c r="B47" s="21" t="n"/>
      <c r="C47" s="27">
        <f>IFERROR(VLOOKUP($B47,'Estoque Central'!$A$6:$M$205,2,FALSE),"")</f>
        <v/>
      </c>
      <c r="D47" s="25">
        <f>IFERROR(VLOOKUP($B47,'Estoque Central'!$A$6:$M$205,3,FALSE),"")</f>
        <v/>
      </c>
      <c r="E47" s="21" t="n"/>
      <c r="F47" s="22" t="n"/>
      <c r="G47" s="22" t="n"/>
      <c r="H47" s="25">
        <f>IFERROR(VLOOKUP($E47,'Configurações'!$A$11:$F$20,2,FALSE),"")</f>
        <v/>
      </c>
      <c r="I47" s="28">
        <f>IFERROR(VLOOKUP($E47,'Configurações'!$A$11:$F$20,3,FALSE),"")</f>
        <v/>
      </c>
      <c r="J47" s="24">
        <f>IFERROR(VLOOKUP($E47,'Configurações'!$A$11:$F$20,4,FALSE),"")</f>
        <v/>
      </c>
      <c r="K47" s="24">
        <f>IFERROR(VLOOKUP($E47,'Configurações'!$A$11:$F$20,5,FALSE),"")</f>
        <v/>
      </c>
      <c r="L47" s="24">
        <f>IFERROR(VLOOKUP($B47,'Estoque Central'!$A$6:$M$205,9,FALSE),"")</f>
        <v/>
      </c>
      <c r="M47" s="24">
        <f>IF(COUNTA($A47:$B47,$E47:$G47,$R47)=0,"",IFERROR(IF(OR($C47="",$H47=""),"",IF(OR($D47&lt;&gt;"Ativo",$H47&lt;&gt;"Sim"),0,MIN(IF($J47="",$L47,$J47),ROUNDDOWN($L47*$I47,0)))),""))</f>
        <v/>
      </c>
      <c r="N47" s="24">
        <f>IF(OR($M47="",NOT(ISNUMBER($F47))),"",$M47-$F47)</f>
        <v/>
      </c>
      <c r="O47" s="25">
        <f>IF(COUNTA($A47:$B47,$E47:$G47,$R47)=0,"",IF($S47&lt;&gt;"OK","REVISAR CADASTRO",IF($N47&gt;0,"AUMENTAR",IF($N47&lt;0,"REDUZIR","SEM AÇÃO"))))</f>
        <v/>
      </c>
      <c r="P47" s="25">
        <f>IF(COUNTA($A47:$B47,$E47:$G47,$R47)=0,"",IF($S47&lt;&gt;"OK","REVISAR",IF(OR($D47&lt;&gt;"Ativo",$H47&lt;&gt;"Sim"),IF($F47&gt;0,"ALTO","SEM EXPOSIÇÃO"),IF(OR($F47&gt;$M47,SUMIFS($F$6:$F$305,$B$6:$B$305,$B47,$S$6:$S$305,"OK")&gt;$L47),"ALTO",IF(AND($F47&gt;0,$L47&lt;=$K47),"MÉDIO","BAIXO")))))</f>
        <v/>
      </c>
      <c r="Q47" s="25">
        <f>IF(COUNTA($A47:$B47,$E47:$G47,$R47)=0,"",IF($S47&lt;&gt;"OK","REVISAR",IF($O47="SEM AÇÃO","BAIXA",IF(OR($P47="ALTO",ABS($N47)&gt;='Configurações'!$B$3),"URGENTE",IF(OR($P47="MÉDIO",'Configurações'!$B$5-$R47&gt;'Configurações'!$B$4),"ALTA","NORMAL")))))</f>
        <v/>
      </c>
      <c r="R47" s="23" t="n"/>
      <c r="S47" s="25">
        <f>IF(COUNTA($A47:$B47,$E47:$G47,$R47)=0,"",IF($A47="","ID AUSENTE",IF(COUNTIF($A$6:$A$305,$A47)&gt;1,"ID DUPLICADO",IF($B47="","SKU AUSENTE",IF(COUNTIF('Estoque Central'!$A$6:$A$205,$B47)=0,"SKU NÃO CADASTRADO",IF(IFERROR(VLOOKUP($B47,'Estoque Central'!$A$6:$M$205,13,FALSE),"")&lt;&gt;"OK","ESTOQUE CENTRAL COM PENDÊNCIA",IF($E47="","CANAL AUSENTE",IF(COUNTIF('Configurações'!$A$11:$A$20,$E47)=0,"CANAL NÃO CONFIGURADO",IF(IFERROR(VLOOKUP($E47,'Configurações'!$A$11:$F$20,6,FALSE),"")&lt;&gt;"OK","CANAL COM PENDÊNCIA",IF(COUNTIFS($B$6:$B$305,$B47,$E$6:$E$305,$E47)&gt;1,"SKU/CANAL DUPLICADO",IF(IFERROR(OR(NOT(ISNUMBER($F47)),$F47&lt;0,MOD($F47,1)&lt;&gt;0),TRUE),"SALDO PUBLICADO INVÁLIDO",IF(IFERROR(OR(NOT(ISNUMBER($G47)),$G47&lt;0,MOD($G47,1)&lt;&gt;0),TRUE),"PEDIDOS PENDENTES INVÁLIDOS",IF(IFERROR(OR(NOT(ISNUMBER($R47)),$R47&gt;'Configurações'!$B$5),TRUE),"DATA INVÁLIDA","OK")))))))))))))</f>
        <v/>
      </c>
    </row>
    <row r="48">
      <c r="A48" s="21" t="n"/>
      <c r="B48" s="21" t="n"/>
      <c r="C48" s="27">
        <f>IFERROR(VLOOKUP($B48,'Estoque Central'!$A$6:$M$205,2,FALSE),"")</f>
        <v/>
      </c>
      <c r="D48" s="25">
        <f>IFERROR(VLOOKUP($B48,'Estoque Central'!$A$6:$M$205,3,FALSE),"")</f>
        <v/>
      </c>
      <c r="E48" s="21" t="n"/>
      <c r="F48" s="22" t="n"/>
      <c r="G48" s="22" t="n"/>
      <c r="H48" s="25">
        <f>IFERROR(VLOOKUP($E48,'Configurações'!$A$11:$F$20,2,FALSE),"")</f>
        <v/>
      </c>
      <c r="I48" s="28">
        <f>IFERROR(VLOOKUP($E48,'Configurações'!$A$11:$F$20,3,FALSE),"")</f>
        <v/>
      </c>
      <c r="J48" s="24">
        <f>IFERROR(VLOOKUP($E48,'Configurações'!$A$11:$F$20,4,FALSE),"")</f>
        <v/>
      </c>
      <c r="K48" s="24">
        <f>IFERROR(VLOOKUP($E48,'Configurações'!$A$11:$F$20,5,FALSE),"")</f>
        <v/>
      </c>
      <c r="L48" s="24">
        <f>IFERROR(VLOOKUP($B48,'Estoque Central'!$A$6:$M$205,9,FALSE),"")</f>
        <v/>
      </c>
      <c r="M48" s="24">
        <f>IF(COUNTA($A48:$B48,$E48:$G48,$R48)=0,"",IFERROR(IF(OR($C48="",$H48=""),"",IF(OR($D48&lt;&gt;"Ativo",$H48&lt;&gt;"Sim"),0,MIN(IF($J48="",$L48,$J48),ROUNDDOWN($L48*$I48,0)))),""))</f>
        <v/>
      </c>
      <c r="N48" s="24">
        <f>IF(OR($M48="",NOT(ISNUMBER($F48))),"",$M48-$F48)</f>
        <v/>
      </c>
      <c r="O48" s="25">
        <f>IF(COUNTA($A48:$B48,$E48:$G48,$R48)=0,"",IF($S48&lt;&gt;"OK","REVISAR CADASTRO",IF($N48&gt;0,"AUMENTAR",IF($N48&lt;0,"REDUZIR","SEM AÇÃO"))))</f>
        <v/>
      </c>
      <c r="P48" s="25">
        <f>IF(COUNTA($A48:$B48,$E48:$G48,$R48)=0,"",IF($S48&lt;&gt;"OK","REVISAR",IF(OR($D48&lt;&gt;"Ativo",$H48&lt;&gt;"Sim"),IF($F48&gt;0,"ALTO","SEM EXPOSIÇÃO"),IF(OR($F48&gt;$M48,SUMIFS($F$6:$F$305,$B$6:$B$305,$B48,$S$6:$S$305,"OK")&gt;$L48),"ALTO",IF(AND($F48&gt;0,$L48&lt;=$K48),"MÉDIO","BAIXO")))))</f>
        <v/>
      </c>
      <c r="Q48" s="25">
        <f>IF(COUNTA($A48:$B48,$E48:$G48,$R48)=0,"",IF($S48&lt;&gt;"OK","REVISAR",IF($O48="SEM AÇÃO","BAIXA",IF(OR($P48="ALTO",ABS($N48)&gt;='Configurações'!$B$3),"URGENTE",IF(OR($P48="MÉDIO",'Configurações'!$B$5-$R48&gt;'Configurações'!$B$4),"ALTA","NORMAL")))))</f>
        <v/>
      </c>
      <c r="R48" s="23" t="n"/>
      <c r="S48" s="25">
        <f>IF(COUNTA($A48:$B48,$E48:$G48,$R48)=0,"",IF($A48="","ID AUSENTE",IF(COUNTIF($A$6:$A$305,$A48)&gt;1,"ID DUPLICADO",IF($B48="","SKU AUSENTE",IF(COUNTIF('Estoque Central'!$A$6:$A$205,$B48)=0,"SKU NÃO CADASTRADO",IF(IFERROR(VLOOKUP($B48,'Estoque Central'!$A$6:$M$205,13,FALSE),"")&lt;&gt;"OK","ESTOQUE CENTRAL COM PENDÊNCIA",IF($E48="","CANAL AUSENTE",IF(COUNTIF('Configurações'!$A$11:$A$20,$E48)=0,"CANAL NÃO CONFIGURADO",IF(IFERROR(VLOOKUP($E48,'Configurações'!$A$11:$F$20,6,FALSE),"")&lt;&gt;"OK","CANAL COM PENDÊNCIA",IF(COUNTIFS($B$6:$B$305,$B48,$E$6:$E$305,$E48)&gt;1,"SKU/CANAL DUPLICADO",IF(IFERROR(OR(NOT(ISNUMBER($F48)),$F48&lt;0,MOD($F48,1)&lt;&gt;0),TRUE),"SALDO PUBLICADO INVÁLIDO",IF(IFERROR(OR(NOT(ISNUMBER($G48)),$G48&lt;0,MOD($G48,1)&lt;&gt;0),TRUE),"PEDIDOS PENDENTES INVÁLIDOS",IF(IFERROR(OR(NOT(ISNUMBER($R48)),$R48&gt;'Configurações'!$B$5),TRUE),"DATA INVÁLIDA","OK")))))))))))))</f>
        <v/>
      </c>
    </row>
    <row r="49">
      <c r="A49" s="21" t="n"/>
      <c r="B49" s="21" t="n"/>
      <c r="C49" s="27">
        <f>IFERROR(VLOOKUP($B49,'Estoque Central'!$A$6:$M$205,2,FALSE),"")</f>
        <v/>
      </c>
      <c r="D49" s="25">
        <f>IFERROR(VLOOKUP($B49,'Estoque Central'!$A$6:$M$205,3,FALSE),"")</f>
        <v/>
      </c>
      <c r="E49" s="21" t="n"/>
      <c r="F49" s="22" t="n"/>
      <c r="G49" s="22" t="n"/>
      <c r="H49" s="25">
        <f>IFERROR(VLOOKUP($E49,'Configurações'!$A$11:$F$20,2,FALSE),"")</f>
        <v/>
      </c>
      <c r="I49" s="28">
        <f>IFERROR(VLOOKUP($E49,'Configurações'!$A$11:$F$20,3,FALSE),"")</f>
        <v/>
      </c>
      <c r="J49" s="24">
        <f>IFERROR(VLOOKUP($E49,'Configurações'!$A$11:$F$20,4,FALSE),"")</f>
        <v/>
      </c>
      <c r="K49" s="24">
        <f>IFERROR(VLOOKUP($E49,'Configurações'!$A$11:$F$20,5,FALSE),"")</f>
        <v/>
      </c>
      <c r="L49" s="24">
        <f>IFERROR(VLOOKUP($B49,'Estoque Central'!$A$6:$M$205,9,FALSE),"")</f>
        <v/>
      </c>
      <c r="M49" s="24">
        <f>IF(COUNTA($A49:$B49,$E49:$G49,$R49)=0,"",IFERROR(IF(OR($C49="",$H49=""),"",IF(OR($D49&lt;&gt;"Ativo",$H49&lt;&gt;"Sim"),0,MIN(IF($J49="",$L49,$J49),ROUNDDOWN($L49*$I49,0)))),""))</f>
        <v/>
      </c>
      <c r="N49" s="24">
        <f>IF(OR($M49="",NOT(ISNUMBER($F49))),"",$M49-$F49)</f>
        <v/>
      </c>
      <c r="O49" s="25">
        <f>IF(COUNTA($A49:$B49,$E49:$G49,$R49)=0,"",IF($S49&lt;&gt;"OK","REVISAR CADASTRO",IF($N49&gt;0,"AUMENTAR",IF($N49&lt;0,"REDUZIR","SEM AÇÃO"))))</f>
        <v/>
      </c>
      <c r="P49" s="25">
        <f>IF(COUNTA($A49:$B49,$E49:$G49,$R49)=0,"",IF($S49&lt;&gt;"OK","REVISAR",IF(OR($D49&lt;&gt;"Ativo",$H49&lt;&gt;"Sim"),IF($F49&gt;0,"ALTO","SEM EXPOSIÇÃO"),IF(OR($F49&gt;$M49,SUMIFS($F$6:$F$305,$B$6:$B$305,$B49,$S$6:$S$305,"OK")&gt;$L49),"ALTO",IF(AND($F49&gt;0,$L49&lt;=$K49),"MÉDIO","BAIXO")))))</f>
        <v/>
      </c>
      <c r="Q49" s="25">
        <f>IF(COUNTA($A49:$B49,$E49:$G49,$R49)=0,"",IF($S49&lt;&gt;"OK","REVISAR",IF($O49="SEM AÇÃO","BAIXA",IF(OR($P49="ALTO",ABS($N49)&gt;='Configurações'!$B$3),"URGENTE",IF(OR($P49="MÉDIO",'Configurações'!$B$5-$R49&gt;'Configurações'!$B$4),"ALTA","NORMAL")))))</f>
        <v/>
      </c>
      <c r="R49" s="23" t="n"/>
      <c r="S49" s="25">
        <f>IF(COUNTA($A49:$B49,$E49:$G49,$R49)=0,"",IF($A49="","ID AUSENTE",IF(COUNTIF($A$6:$A$305,$A49)&gt;1,"ID DUPLICADO",IF($B49="","SKU AUSENTE",IF(COUNTIF('Estoque Central'!$A$6:$A$205,$B49)=0,"SKU NÃO CADASTRADO",IF(IFERROR(VLOOKUP($B49,'Estoque Central'!$A$6:$M$205,13,FALSE),"")&lt;&gt;"OK","ESTOQUE CENTRAL COM PENDÊNCIA",IF($E49="","CANAL AUSENTE",IF(COUNTIF('Configurações'!$A$11:$A$20,$E49)=0,"CANAL NÃO CONFIGURADO",IF(IFERROR(VLOOKUP($E49,'Configurações'!$A$11:$F$20,6,FALSE),"")&lt;&gt;"OK","CANAL COM PENDÊNCIA",IF(COUNTIFS($B$6:$B$305,$B49,$E$6:$E$305,$E49)&gt;1,"SKU/CANAL DUPLICADO",IF(IFERROR(OR(NOT(ISNUMBER($F49)),$F49&lt;0,MOD($F49,1)&lt;&gt;0),TRUE),"SALDO PUBLICADO INVÁLIDO",IF(IFERROR(OR(NOT(ISNUMBER($G49)),$G49&lt;0,MOD($G49,1)&lt;&gt;0),TRUE),"PEDIDOS PENDENTES INVÁLIDOS",IF(IFERROR(OR(NOT(ISNUMBER($R49)),$R49&gt;'Configurações'!$B$5),TRUE),"DATA INVÁLIDA","OK")))))))))))))</f>
        <v/>
      </c>
    </row>
    <row r="50">
      <c r="A50" s="21" t="n"/>
      <c r="B50" s="21" t="n"/>
      <c r="C50" s="27">
        <f>IFERROR(VLOOKUP($B50,'Estoque Central'!$A$6:$M$205,2,FALSE),"")</f>
        <v/>
      </c>
      <c r="D50" s="25">
        <f>IFERROR(VLOOKUP($B50,'Estoque Central'!$A$6:$M$205,3,FALSE),"")</f>
        <v/>
      </c>
      <c r="E50" s="21" t="n"/>
      <c r="F50" s="22" t="n"/>
      <c r="G50" s="22" t="n"/>
      <c r="H50" s="25">
        <f>IFERROR(VLOOKUP($E50,'Configurações'!$A$11:$F$20,2,FALSE),"")</f>
        <v/>
      </c>
      <c r="I50" s="28">
        <f>IFERROR(VLOOKUP($E50,'Configurações'!$A$11:$F$20,3,FALSE),"")</f>
        <v/>
      </c>
      <c r="J50" s="24">
        <f>IFERROR(VLOOKUP($E50,'Configurações'!$A$11:$F$20,4,FALSE),"")</f>
        <v/>
      </c>
      <c r="K50" s="24">
        <f>IFERROR(VLOOKUP($E50,'Configurações'!$A$11:$F$20,5,FALSE),"")</f>
        <v/>
      </c>
      <c r="L50" s="24">
        <f>IFERROR(VLOOKUP($B50,'Estoque Central'!$A$6:$M$205,9,FALSE),"")</f>
        <v/>
      </c>
      <c r="M50" s="24">
        <f>IF(COUNTA($A50:$B50,$E50:$G50,$R50)=0,"",IFERROR(IF(OR($C50="",$H50=""),"",IF(OR($D50&lt;&gt;"Ativo",$H50&lt;&gt;"Sim"),0,MIN(IF($J50="",$L50,$J50),ROUNDDOWN($L50*$I50,0)))),""))</f>
        <v/>
      </c>
      <c r="N50" s="24">
        <f>IF(OR($M50="",NOT(ISNUMBER($F50))),"",$M50-$F50)</f>
        <v/>
      </c>
      <c r="O50" s="25">
        <f>IF(COUNTA($A50:$B50,$E50:$G50,$R50)=0,"",IF($S50&lt;&gt;"OK","REVISAR CADASTRO",IF($N50&gt;0,"AUMENTAR",IF($N50&lt;0,"REDUZIR","SEM AÇÃO"))))</f>
        <v/>
      </c>
      <c r="P50" s="25">
        <f>IF(COUNTA($A50:$B50,$E50:$G50,$R50)=0,"",IF($S50&lt;&gt;"OK","REVISAR",IF(OR($D50&lt;&gt;"Ativo",$H50&lt;&gt;"Sim"),IF($F50&gt;0,"ALTO","SEM EXPOSIÇÃO"),IF(OR($F50&gt;$M50,SUMIFS($F$6:$F$305,$B$6:$B$305,$B50,$S$6:$S$305,"OK")&gt;$L50),"ALTO",IF(AND($F50&gt;0,$L50&lt;=$K50),"MÉDIO","BAIXO")))))</f>
        <v/>
      </c>
      <c r="Q50" s="25">
        <f>IF(COUNTA($A50:$B50,$E50:$G50,$R50)=0,"",IF($S50&lt;&gt;"OK","REVISAR",IF($O50="SEM AÇÃO","BAIXA",IF(OR($P50="ALTO",ABS($N50)&gt;='Configurações'!$B$3),"URGENTE",IF(OR($P50="MÉDIO",'Configurações'!$B$5-$R50&gt;'Configurações'!$B$4),"ALTA","NORMAL")))))</f>
        <v/>
      </c>
      <c r="R50" s="23" t="n"/>
      <c r="S50" s="25">
        <f>IF(COUNTA($A50:$B50,$E50:$G50,$R50)=0,"",IF($A50="","ID AUSENTE",IF(COUNTIF($A$6:$A$305,$A50)&gt;1,"ID DUPLICADO",IF($B50="","SKU AUSENTE",IF(COUNTIF('Estoque Central'!$A$6:$A$205,$B50)=0,"SKU NÃO CADASTRADO",IF(IFERROR(VLOOKUP($B50,'Estoque Central'!$A$6:$M$205,13,FALSE),"")&lt;&gt;"OK","ESTOQUE CENTRAL COM PENDÊNCIA",IF($E50="","CANAL AUSENTE",IF(COUNTIF('Configurações'!$A$11:$A$20,$E50)=0,"CANAL NÃO CONFIGURADO",IF(IFERROR(VLOOKUP($E50,'Configurações'!$A$11:$F$20,6,FALSE),"")&lt;&gt;"OK","CANAL COM PENDÊNCIA",IF(COUNTIFS($B$6:$B$305,$B50,$E$6:$E$305,$E50)&gt;1,"SKU/CANAL DUPLICADO",IF(IFERROR(OR(NOT(ISNUMBER($F50)),$F50&lt;0,MOD($F50,1)&lt;&gt;0),TRUE),"SALDO PUBLICADO INVÁLIDO",IF(IFERROR(OR(NOT(ISNUMBER($G50)),$G50&lt;0,MOD($G50,1)&lt;&gt;0),TRUE),"PEDIDOS PENDENTES INVÁLIDOS",IF(IFERROR(OR(NOT(ISNUMBER($R50)),$R50&gt;'Configurações'!$B$5),TRUE),"DATA INVÁLIDA","OK")))))))))))))</f>
        <v/>
      </c>
    </row>
    <row r="51">
      <c r="A51" s="21" t="n"/>
      <c r="B51" s="21" t="n"/>
      <c r="C51" s="27">
        <f>IFERROR(VLOOKUP($B51,'Estoque Central'!$A$6:$M$205,2,FALSE),"")</f>
        <v/>
      </c>
      <c r="D51" s="25">
        <f>IFERROR(VLOOKUP($B51,'Estoque Central'!$A$6:$M$205,3,FALSE),"")</f>
        <v/>
      </c>
      <c r="E51" s="21" t="n"/>
      <c r="F51" s="22" t="n"/>
      <c r="G51" s="22" t="n"/>
      <c r="H51" s="25">
        <f>IFERROR(VLOOKUP($E51,'Configurações'!$A$11:$F$20,2,FALSE),"")</f>
        <v/>
      </c>
      <c r="I51" s="28">
        <f>IFERROR(VLOOKUP($E51,'Configurações'!$A$11:$F$20,3,FALSE),"")</f>
        <v/>
      </c>
      <c r="J51" s="24">
        <f>IFERROR(VLOOKUP($E51,'Configurações'!$A$11:$F$20,4,FALSE),"")</f>
        <v/>
      </c>
      <c r="K51" s="24">
        <f>IFERROR(VLOOKUP($E51,'Configurações'!$A$11:$F$20,5,FALSE),"")</f>
        <v/>
      </c>
      <c r="L51" s="24">
        <f>IFERROR(VLOOKUP($B51,'Estoque Central'!$A$6:$M$205,9,FALSE),"")</f>
        <v/>
      </c>
      <c r="M51" s="24">
        <f>IF(COUNTA($A51:$B51,$E51:$G51,$R51)=0,"",IFERROR(IF(OR($C51="",$H51=""),"",IF(OR($D51&lt;&gt;"Ativo",$H51&lt;&gt;"Sim"),0,MIN(IF($J51="",$L51,$J51),ROUNDDOWN($L51*$I51,0)))),""))</f>
        <v/>
      </c>
      <c r="N51" s="24">
        <f>IF(OR($M51="",NOT(ISNUMBER($F51))),"",$M51-$F51)</f>
        <v/>
      </c>
      <c r="O51" s="25">
        <f>IF(COUNTA($A51:$B51,$E51:$G51,$R51)=0,"",IF($S51&lt;&gt;"OK","REVISAR CADASTRO",IF($N51&gt;0,"AUMENTAR",IF($N51&lt;0,"REDUZIR","SEM AÇÃO"))))</f>
        <v/>
      </c>
      <c r="P51" s="25">
        <f>IF(COUNTA($A51:$B51,$E51:$G51,$R51)=0,"",IF($S51&lt;&gt;"OK","REVISAR",IF(OR($D51&lt;&gt;"Ativo",$H51&lt;&gt;"Sim"),IF($F51&gt;0,"ALTO","SEM EXPOSIÇÃO"),IF(OR($F51&gt;$M51,SUMIFS($F$6:$F$305,$B$6:$B$305,$B51,$S$6:$S$305,"OK")&gt;$L51),"ALTO",IF(AND($F51&gt;0,$L51&lt;=$K51),"MÉDIO","BAIXO")))))</f>
        <v/>
      </c>
      <c r="Q51" s="25">
        <f>IF(COUNTA($A51:$B51,$E51:$G51,$R51)=0,"",IF($S51&lt;&gt;"OK","REVISAR",IF($O51="SEM AÇÃO","BAIXA",IF(OR($P51="ALTO",ABS($N51)&gt;='Configurações'!$B$3),"URGENTE",IF(OR($P51="MÉDIO",'Configurações'!$B$5-$R51&gt;'Configurações'!$B$4),"ALTA","NORMAL")))))</f>
        <v/>
      </c>
      <c r="R51" s="23" t="n"/>
      <c r="S51" s="25">
        <f>IF(COUNTA($A51:$B51,$E51:$G51,$R51)=0,"",IF($A51="","ID AUSENTE",IF(COUNTIF($A$6:$A$305,$A51)&gt;1,"ID DUPLICADO",IF($B51="","SKU AUSENTE",IF(COUNTIF('Estoque Central'!$A$6:$A$205,$B51)=0,"SKU NÃO CADASTRADO",IF(IFERROR(VLOOKUP($B51,'Estoque Central'!$A$6:$M$205,13,FALSE),"")&lt;&gt;"OK","ESTOQUE CENTRAL COM PENDÊNCIA",IF($E51="","CANAL AUSENTE",IF(COUNTIF('Configurações'!$A$11:$A$20,$E51)=0,"CANAL NÃO CONFIGURADO",IF(IFERROR(VLOOKUP($E51,'Configurações'!$A$11:$F$20,6,FALSE),"")&lt;&gt;"OK","CANAL COM PENDÊNCIA",IF(COUNTIFS($B$6:$B$305,$B51,$E$6:$E$305,$E51)&gt;1,"SKU/CANAL DUPLICADO",IF(IFERROR(OR(NOT(ISNUMBER($F51)),$F51&lt;0,MOD($F51,1)&lt;&gt;0),TRUE),"SALDO PUBLICADO INVÁLIDO",IF(IFERROR(OR(NOT(ISNUMBER($G51)),$G51&lt;0,MOD($G51,1)&lt;&gt;0),TRUE),"PEDIDOS PENDENTES INVÁLIDOS",IF(IFERROR(OR(NOT(ISNUMBER($R51)),$R51&gt;'Configurações'!$B$5),TRUE),"DATA INVÁLIDA","OK")))))))))))))</f>
        <v/>
      </c>
    </row>
    <row r="52">
      <c r="A52" s="21" t="n"/>
      <c r="B52" s="21" t="n"/>
      <c r="C52" s="27">
        <f>IFERROR(VLOOKUP($B52,'Estoque Central'!$A$6:$M$205,2,FALSE),"")</f>
        <v/>
      </c>
      <c r="D52" s="25">
        <f>IFERROR(VLOOKUP($B52,'Estoque Central'!$A$6:$M$205,3,FALSE),"")</f>
        <v/>
      </c>
      <c r="E52" s="21" t="n"/>
      <c r="F52" s="22" t="n"/>
      <c r="G52" s="22" t="n"/>
      <c r="H52" s="25">
        <f>IFERROR(VLOOKUP($E52,'Configurações'!$A$11:$F$20,2,FALSE),"")</f>
        <v/>
      </c>
      <c r="I52" s="28">
        <f>IFERROR(VLOOKUP($E52,'Configurações'!$A$11:$F$20,3,FALSE),"")</f>
        <v/>
      </c>
      <c r="J52" s="24">
        <f>IFERROR(VLOOKUP($E52,'Configurações'!$A$11:$F$20,4,FALSE),"")</f>
        <v/>
      </c>
      <c r="K52" s="24">
        <f>IFERROR(VLOOKUP($E52,'Configurações'!$A$11:$F$20,5,FALSE),"")</f>
        <v/>
      </c>
      <c r="L52" s="24">
        <f>IFERROR(VLOOKUP($B52,'Estoque Central'!$A$6:$M$205,9,FALSE),"")</f>
        <v/>
      </c>
      <c r="M52" s="24">
        <f>IF(COUNTA($A52:$B52,$E52:$G52,$R52)=0,"",IFERROR(IF(OR($C52="",$H52=""),"",IF(OR($D52&lt;&gt;"Ativo",$H52&lt;&gt;"Sim"),0,MIN(IF($J52="",$L52,$J52),ROUNDDOWN($L52*$I52,0)))),""))</f>
        <v/>
      </c>
      <c r="N52" s="24">
        <f>IF(OR($M52="",NOT(ISNUMBER($F52))),"",$M52-$F52)</f>
        <v/>
      </c>
      <c r="O52" s="25">
        <f>IF(COUNTA($A52:$B52,$E52:$G52,$R52)=0,"",IF($S52&lt;&gt;"OK","REVISAR CADASTRO",IF($N52&gt;0,"AUMENTAR",IF($N52&lt;0,"REDUZIR","SEM AÇÃO"))))</f>
        <v/>
      </c>
      <c r="P52" s="25">
        <f>IF(COUNTA($A52:$B52,$E52:$G52,$R52)=0,"",IF($S52&lt;&gt;"OK","REVISAR",IF(OR($D52&lt;&gt;"Ativo",$H52&lt;&gt;"Sim"),IF($F52&gt;0,"ALTO","SEM EXPOSIÇÃO"),IF(OR($F52&gt;$M52,SUMIFS($F$6:$F$305,$B$6:$B$305,$B52,$S$6:$S$305,"OK")&gt;$L52),"ALTO",IF(AND($F52&gt;0,$L52&lt;=$K52),"MÉDIO","BAIXO")))))</f>
        <v/>
      </c>
      <c r="Q52" s="25">
        <f>IF(COUNTA($A52:$B52,$E52:$G52,$R52)=0,"",IF($S52&lt;&gt;"OK","REVISAR",IF($O52="SEM AÇÃO","BAIXA",IF(OR($P52="ALTO",ABS($N52)&gt;='Configurações'!$B$3),"URGENTE",IF(OR($P52="MÉDIO",'Configurações'!$B$5-$R52&gt;'Configurações'!$B$4),"ALTA","NORMAL")))))</f>
        <v/>
      </c>
      <c r="R52" s="23" t="n"/>
      <c r="S52" s="25">
        <f>IF(COUNTA($A52:$B52,$E52:$G52,$R52)=0,"",IF($A52="","ID AUSENTE",IF(COUNTIF($A$6:$A$305,$A52)&gt;1,"ID DUPLICADO",IF($B52="","SKU AUSENTE",IF(COUNTIF('Estoque Central'!$A$6:$A$205,$B52)=0,"SKU NÃO CADASTRADO",IF(IFERROR(VLOOKUP($B52,'Estoque Central'!$A$6:$M$205,13,FALSE),"")&lt;&gt;"OK","ESTOQUE CENTRAL COM PENDÊNCIA",IF($E52="","CANAL AUSENTE",IF(COUNTIF('Configurações'!$A$11:$A$20,$E52)=0,"CANAL NÃO CONFIGURADO",IF(IFERROR(VLOOKUP($E52,'Configurações'!$A$11:$F$20,6,FALSE),"")&lt;&gt;"OK","CANAL COM PENDÊNCIA",IF(COUNTIFS($B$6:$B$305,$B52,$E$6:$E$305,$E52)&gt;1,"SKU/CANAL DUPLICADO",IF(IFERROR(OR(NOT(ISNUMBER($F52)),$F52&lt;0,MOD($F52,1)&lt;&gt;0),TRUE),"SALDO PUBLICADO INVÁLIDO",IF(IFERROR(OR(NOT(ISNUMBER($G52)),$G52&lt;0,MOD($G52,1)&lt;&gt;0),TRUE),"PEDIDOS PENDENTES INVÁLIDOS",IF(IFERROR(OR(NOT(ISNUMBER($R52)),$R52&gt;'Configurações'!$B$5),TRUE),"DATA INVÁLIDA","OK")))))))))))))</f>
        <v/>
      </c>
    </row>
    <row r="53">
      <c r="A53" s="21" t="n"/>
      <c r="B53" s="21" t="n"/>
      <c r="C53" s="27">
        <f>IFERROR(VLOOKUP($B53,'Estoque Central'!$A$6:$M$205,2,FALSE),"")</f>
        <v/>
      </c>
      <c r="D53" s="25">
        <f>IFERROR(VLOOKUP($B53,'Estoque Central'!$A$6:$M$205,3,FALSE),"")</f>
        <v/>
      </c>
      <c r="E53" s="21" t="n"/>
      <c r="F53" s="22" t="n"/>
      <c r="G53" s="22" t="n"/>
      <c r="H53" s="25">
        <f>IFERROR(VLOOKUP($E53,'Configurações'!$A$11:$F$20,2,FALSE),"")</f>
        <v/>
      </c>
      <c r="I53" s="28">
        <f>IFERROR(VLOOKUP($E53,'Configurações'!$A$11:$F$20,3,FALSE),"")</f>
        <v/>
      </c>
      <c r="J53" s="24">
        <f>IFERROR(VLOOKUP($E53,'Configurações'!$A$11:$F$20,4,FALSE),"")</f>
        <v/>
      </c>
      <c r="K53" s="24">
        <f>IFERROR(VLOOKUP($E53,'Configurações'!$A$11:$F$20,5,FALSE),"")</f>
        <v/>
      </c>
      <c r="L53" s="24">
        <f>IFERROR(VLOOKUP($B53,'Estoque Central'!$A$6:$M$205,9,FALSE),"")</f>
        <v/>
      </c>
      <c r="M53" s="24">
        <f>IF(COUNTA($A53:$B53,$E53:$G53,$R53)=0,"",IFERROR(IF(OR($C53="",$H53=""),"",IF(OR($D53&lt;&gt;"Ativo",$H53&lt;&gt;"Sim"),0,MIN(IF($J53="",$L53,$J53),ROUNDDOWN($L53*$I53,0)))),""))</f>
        <v/>
      </c>
      <c r="N53" s="24">
        <f>IF(OR($M53="",NOT(ISNUMBER($F53))),"",$M53-$F53)</f>
        <v/>
      </c>
      <c r="O53" s="25">
        <f>IF(COUNTA($A53:$B53,$E53:$G53,$R53)=0,"",IF($S53&lt;&gt;"OK","REVISAR CADASTRO",IF($N53&gt;0,"AUMENTAR",IF($N53&lt;0,"REDUZIR","SEM AÇÃO"))))</f>
        <v/>
      </c>
      <c r="P53" s="25">
        <f>IF(COUNTA($A53:$B53,$E53:$G53,$R53)=0,"",IF($S53&lt;&gt;"OK","REVISAR",IF(OR($D53&lt;&gt;"Ativo",$H53&lt;&gt;"Sim"),IF($F53&gt;0,"ALTO","SEM EXPOSIÇÃO"),IF(OR($F53&gt;$M53,SUMIFS($F$6:$F$305,$B$6:$B$305,$B53,$S$6:$S$305,"OK")&gt;$L53),"ALTO",IF(AND($F53&gt;0,$L53&lt;=$K53),"MÉDIO","BAIXO")))))</f>
        <v/>
      </c>
      <c r="Q53" s="25">
        <f>IF(COUNTA($A53:$B53,$E53:$G53,$R53)=0,"",IF($S53&lt;&gt;"OK","REVISAR",IF($O53="SEM AÇÃO","BAIXA",IF(OR($P53="ALTO",ABS($N53)&gt;='Configurações'!$B$3),"URGENTE",IF(OR($P53="MÉDIO",'Configurações'!$B$5-$R53&gt;'Configurações'!$B$4),"ALTA","NORMAL")))))</f>
        <v/>
      </c>
      <c r="R53" s="23" t="n"/>
      <c r="S53" s="25">
        <f>IF(COUNTA($A53:$B53,$E53:$G53,$R53)=0,"",IF($A53="","ID AUSENTE",IF(COUNTIF($A$6:$A$305,$A53)&gt;1,"ID DUPLICADO",IF($B53="","SKU AUSENTE",IF(COUNTIF('Estoque Central'!$A$6:$A$205,$B53)=0,"SKU NÃO CADASTRADO",IF(IFERROR(VLOOKUP($B53,'Estoque Central'!$A$6:$M$205,13,FALSE),"")&lt;&gt;"OK","ESTOQUE CENTRAL COM PENDÊNCIA",IF($E53="","CANAL AUSENTE",IF(COUNTIF('Configurações'!$A$11:$A$20,$E53)=0,"CANAL NÃO CONFIGURADO",IF(IFERROR(VLOOKUP($E53,'Configurações'!$A$11:$F$20,6,FALSE),"")&lt;&gt;"OK","CANAL COM PENDÊNCIA",IF(COUNTIFS($B$6:$B$305,$B53,$E$6:$E$305,$E53)&gt;1,"SKU/CANAL DUPLICADO",IF(IFERROR(OR(NOT(ISNUMBER($F53)),$F53&lt;0,MOD($F53,1)&lt;&gt;0),TRUE),"SALDO PUBLICADO INVÁLIDO",IF(IFERROR(OR(NOT(ISNUMBER($G53)),$G53&lt;0,MOD($G53,1)&lt;&gt;0),TRUE),"PEDIDOS PENDENTES INVÁLIDOS",IF(IFERROR(OR(NOT(ISNUMBER($R53)),$R53&gt;'Configurações'!$B$5),TRUE),"DATA INVÁLIDA","OK")))))))))))))</f>
        <v/>
      </c>
    </row>
    <row r="54">
      <c r="A54" s="21" t="n"/>
      <c r="B54" s="21" t="n"/>
      <c r="C54" s="27">
        <f>IFERROR(VLOOKUP($B54,'Estoque Central'!$A$6:$M$205,2,FALSE),"")</f>
        <v/>
      </c>
      <c r="D54" s="25">
        <f>IFERROR(VLOOKUP($B54,'Estoque Central'!$A$6:$M$205,3,FALSE),"")</f>
        <v/>
      </c>
      <c r="E54" s="21" t="n"/>
      <c r="F54" s="22" t="n"/>
      <c r="G54" s="22" t="n"/>
      <c r="H54" s="25">
        <f>IFERROR(VLOOKUP($E54,'Configurações'!$A$11:$F$20,2,FALSE),"")</f>
        <v/>
      </c>
      <c r="I54" s="28">
        <f>IFERROR(VLOOKUP($E54,'Configurações'!$A$11:$F$20,3,FALSE),"")</f>
        <v/>
      </c>
      <c r="J54" s="24">
        <f>IFERROR(VLOOKUP($E54,'Configurações'!$A$11:$F$20,4,FALSE),"")</f>
        <v/>
      </c>
      <c r="K54" s="24">
        <f>IFERROR(VLOOKUP($E54,'Configurações'!$A$11:$F$20,5,FALSE),"")</f>
        <v/>
      </c>
      <c r="L54" s="24">
        <f>IFERROR(VLOOKUP($B54,'Estoque Central'!$A$6:$M$205,9,FALSE),"")</f>
        <v/>
      </c>
      <c r="M54" s="24">
        <f>IF(COUNTA($A54:$B54,$E54:$G54,$R54)=0,"",IFERROR(IF(OR($C54="",$H54=""),"",IF(OR($D54&lt;&gt;"Ativo",$H54&lt;&gt;"Sim"),0,MIN(IF($J54="",$L54,$J54),ROUNDDOWN($L54*$I54,0)))),""))</f>
        <v/>
      </c>
      <c r="N54" s="24">
        <f>IF(OR($M54="",NOT(ISNUMBER($F54))),"",$M54-$F54)</f>
        <v/>
      </c>
      <c r="O54" s="25">
        <f>IF(COUNTA($A54:$B54,$E54:$G54,$R54)=0,"",IF($S54&lt;&gt;"OK","REVISAR CADASTRO",IF($N54&gt;0,"AUMENTAR",IF($N54&lt;0,"REDUZIR","SEM AÇÃO"))))</f>
        <v/>
      </c>
      <c r="P54" s="25">
        <f>IF(COUNTA($A54:$B54,$E54:$G54,$R54)=0,"",IF($S54&lt;&gt;"OK","REVISAR",IF(OR($D54&lt;&gt;"Ativo",$H54&lt;&gt;"Sim"),IF($F54&gt;0,"ALTO","SEM EXPOSIÇÃO"),IF(OR($F54&gt;$M54,SUMIFS($F$6:$F$305,$B$6:$B$305,$B54,$S$6:$S$305,"OK")&gt;$L54),"ALTO",IF(AND($F54&gt;0,$L54&lt;=$K54),"MÉDIO","BAIXO")))))</f>
        <v/>
      </c>
      <c r="Q54" s="25">
        <f>IF(COUNTA($A54:$B54,$E54:$G54,$R54)=0,"",IF($S54&lt;&gt;"OK","REVISAR",IF($O54="SEM AÇÃO","BAIXA",IF(OR($P54="ALTO",ABS($N54)&gt;='Configurações'!$B$3),"URGENTE",IF(OR($P54="MÉDIO",'Configurações'!$B$5-$R54&gt;'Configurações'!$B$4),"ALTA","NORMAL")))))</f>
        <v/>
      </c>
      <c r="R54" s="23" t="n"/>
      <c r="S54" s="25">
        <f>IF(COUNTA($A54:$B54,$E54:$G54,$R54)=0,"",IF($A54="","ID AUSENTE",IF(COUNTIF($A$6:$A$305,$A54)&gt;1,"ID DUPLICADO",IF($B54="","SKU AUSENTE",IF(COUNTIF('Estoque Central'!$A$6:$A$205,$B54)=0,"SKU NÃO CADASTRADO",IF(IFERROR(VLOOKUP($B54,'Estoque Central'!$A$6:$M$205,13,FALSE),"")&lt;&gt;"OK","ESTOQUE CENTRAL COM PENDÊNCIA",IF($E54="","CANAL AUSENTE",IF(COUNTIF('Configurações'!$A$11:$A$20,$E54)=0,"CANAL NÃO CONFIGURADO",IF(IFERROR(VLOOKUP($E54,'Configurações'!$A$11:$F$20,6,FALSE),"")&lt;&gt;"OK","CANAL COM PENDÊNCIA",IF(COUNTIFS($B$6:$B$305,$B54,$E$6:$E$305,$E54)&gt;1,"SKU/CANAL DUPLICADO",IF(IFERROR(OR(NOT(ISNUMBER($F54)),$F54&lt;0,MOD($F54,1)&lt;&gt;0),TRUE),"SALDO PUBLICADO INVÁLIDO",IF(IFERROR(OR(NOT(ISNUMBER($G54)),$G54&lt;0,MOD($G54,1)&lt;&gt;0),TRUE),"PEDIDOS PENDENTES INVÁLIDOS",IF(IFERROR(OR(NOT(ISNUMBER($R54)),$R54&gt;'Configurações'!$B$5),TRUE),"DATA INVÁLIDA","OK")))))))))))))</f>
        <v/>
      </c>
    </row>
    <row r="55">
      <c r="A55" s="21" t="n"/>
      <c r="B55" s="21" t="n"/>
      <c r="C55" s="27">
        <f>IFERROR(VLOOKUP($B55,'Estoque Central'!$A$6:$M$205,2,FALSE),"")</f>
        <v/>
      </c>
      <c r="D55" s="25">
        <f>IFERROR(VLOOKUP($B55,'Estoque Central'!$A$6:$M$205,3,FALSE),"")</f>
        <v/>
      </c>
      <c r="E55" s="21" t="n"/>
      <c r="F55" s="22" t="n"/>
      <c r="G55" s="22" t="n"/>
      <c r="H55" s="25">
        <f>IFERROR(VLOOKUP($E55,'Configurações'!$A$11:$F$20,2,FALSE),"")</f>
        <v/>
      </c>
      <c r="I55" s="28">
        <f>IFERROR(VLOOKUP($E55,'Configurações'!$A$11:$F$20,3,FALSE),"")</f>
        <v/>
      </c>
      <c r="J55" s="24">
        <f>IFERROR(VLOOKUP($E55,'Configurações'!$A$11:$F$20,4,FALSE),"")</f>
        <v/>
      </c>
      <c r="K55" s="24">
        <f>IFERROR(VLOOKUP($E55,'Configurações'!$A$11:$F$20,5,FALSE),"")</f>
        <v/>
      </c>
      <c r="L55" s="24">
        <f>IFERROR(VLOOKUP($B55,'Estoque Central'!$A$6:$M$205,9,FALSE),"")</f>
        <v/>
      </c>
      <c r="M55" s="24">
        <f>IF(COUNTA($A55:$B55,$E55:$G55,$R55)=0,"",IFERROR(IF(OR($C55="",$H55=""),"",IF(OR($D55&lt;&gt;"Ativo",$H55&lt;&gt;"Sim"),0,MIN(IF($J55="",$L55,$J55),ROUNDDOWN($L55*$I55,0)))),""))</f>
        <v/>
      </c>
      <c r="N55" s="24">
        <f>IF(OR($M55="",NOT(ISNUMBER($F55))),"",$M55-$F55)</f>
        <v/>
      </c>
      <c r="O55" s="25">
        <f>IF(COUNTA($A55:$B55,$E55:$G55,$R55)=0,"",IF($S55&lt;&gt;"OK","REVISAR CADASTRO",IF($N55&gt;0,"AUMENTAR",IF($N55&lt;0,"REDUZIR","SEM AÇÃO"))))</f>
        <v/>
      </c>
      <c r="P55" s="25">
        <f>IF(COUNTA($A55:$B55,$E55:$G55,$R55)=0,"",IF($S55&lt;&gt;"OK","REVISAR",IF(OR($D55&lt;&gt;"Ativo",$H55&lt;&gt;"Sim"),IF($F55&gt;0,"ALTO","SEM EXPOSIÇÃO"),IF(OR($F55&gt;$M55,SUMIFS($F$6:$F$305,$B$6:$B$305,$B55,$S$6:$S$305,"OK")&gt;$L55),"ALTO",IF(AND($F55&gt;0,$L55&lt;=$K55),"MÉDIO","BAIXO")))))</f>
        <v/>
      </c>
      <c r="Q55" s="25">
        <f>IF(COUNTA($A55:$B55,$E55:$G55,$R55)=0,"",IF($S55&lt;&gt;"OK","REVISAR",IF($O55="SEM AÇÃO","BAIXA",IF(OR($P55="ALTO",ABS($N55)&gt;='Configurações'!$B$3),"URGENTE",IF(OR($P55="MÉDIO",'Configurações'!$B$5-$R55&gt;'Configurações'!$B$4),"ALTA","NORMAL")))))</f>
        <v/>
      </c>
      <c r="R55" s="23" t="n"/>
      <c r="S55" s="25">
        <f>IF(COUNTA($A55:$B55,$E55:$G55,$R55)=0,"",IF($A55="","ID AUSENTE",IF(COUNTIF($A$6:$A$305,$A55)&gt;1,"ID DUPLICADO",IF($B55="","SKU AUSENTE",IF(COUNTIF('Estoque Central'!$A$6:$A$205,$B55)=0,"SKU NÃO CADASTRADO",IF(IFERROR(VLOOKUP($B55,'Estoque Central'!$A$6:$M$205,13,FALSE),"")&lt;&gt;"OK","ESTOQUE CENTRAL COM PENDÊNCIA",IF($E55="","CANAL AUSENTE",IF(COUNTIF('Configurações'!$A$11:$A$20,$E55)=0,"CANAL NÃO CONFIGURADO",IF(IFERROR(VLOOKUP($E55,'Configurações'!$A$11:$F$20,6,FALSE),"")&lt;&gt;"OK","CANAL COM PENDÊNCIA",IF(COUNTIFS($B$6:$B$305,$B55,$E$6:$E$305,$E55)&gt;1,"SKU/CANAL DUPLICADO",IF(IFERROR(OR(NOT(ISNUMBER($F55)),$F55&lt;0,MOD($F55,1)&lt;&gt;0),TRUE),"SALDO PUBLICADO INVÁLIDO",IF(IFERROR(OR(NOT(ISNUMBER($G55)),$G55&lt;0,MOD($G55,1)&lt;&gt;0),TRUE),"PEDIDOS PENDENTES INVÁLIDOS",IF(IFERROR(OR(NOT(ISNUMBER($R55)),$R55&gt;'Configurações'!$B$5),TRUE),"DATA INVÁLIDA","OK")))))))))))))</f>
        <v/>
      </c>
    </row>
    <row r="56">
      <c r="A56" s="21" t="n"/>
      <c r="B56" s="21" t="n"/>
      <c r="C56" s="27">
        <f>IFERROR(VLOOKUP($B56,'Estoque Central'!$A$6:$M$205,2,FALSE),"")</f>
        <v/>
      </c>
      <c r="D56" s="25">
        <f>IFERROR(VLOOKUP($B56,'Estoque Central'!$A$6:$M$205,3,FALSE),"")</f>
        <v/>
      </c>
      <c r="E56" s="21" t="n"/>
      <c r="F56" s="22" t="n"/>
      <c r="G56" s="22" t="n"/>
      <c r="H56" s="25">
        <f>IFERROR(VLOOKUP($E56,'Configurações'!$A$11:$F$20,2,FALSE),"")</f>
        <v/>
      </c>
      <c r="I56" s="28">
        <f>IFERROR(VLOOKUP($E56,'Configurações'!$A$11:$F$20,3,FALSE),"")</f>
        <v/>
      </c>
      <c r="J56" s="24">
        <f>IFERROR(VLOOKUP($E56,'Configurações'!$A$11:$F$20,4,FALSE),"")</f>
        <v/>
      </c>
      <c r="K56" s="24">
        <f>IFERROR(VLOOKUP($E56,'Configurações'!$A$11:$F$20,5,FALSE),"")</f>
        <v/>
      </c>
      <c r="L56" s="24">
        <f>IFERROR(VLOOKUP($B56,'Estoque Central'!$A$6:$M$205,9,FALSE),"")</f>
        <v/>
      </c>
      <c r="M56" s="24">
        <f>IF(COUNTA($A56:$B56,$E56:$G56,$R56)=0,"",IFERROR(IF(OR($C56="",$H56=""),"",IF(OR($D56&lt;&gt;"Ativo",$H56&lt;&gt;"Sim"),0,MIN(IF($J56="",$L56,$J56),ROUNDDOWN($L56*$I56,0)))),""))</f>
        <v/>
      </c>
      <c r="N56" s="24">
        <f>IF(OR($M56="",NOT(ISNUMBER($F56))),"",$M56-$F56)</f>
        <v/>
      </c>
      <c r="O56" s="25">
        <f>IF(COUNTA($A56:$B56,$E56:$G56,$R56)=0,"",IF($S56&lt;&gt;"OK","REVISAR CADASTRO",IF($N56&gt;0,"AUMENTAR",IF($N56&lt;0,"REDUZIR","SEM AÇÃO"))))</f>
        <v/>
      </c>
      <c r="P56" s="25">
        <f>IF(COUNTA($A56:$B56,$E56:$G56,$R56)=0,"",IF($S56&lt;&gt;"OK","REVISAR",IF(OR($D56&lt;&gt;"Ativo",$H56&lt;&gt;"Sim"),IF($F56&gt;0,"ALTO","SEM EXPOSIÇÃO"),IF(OR($F56&gt;$M56,SUMIFS($F$6:$F$305,$B$6:$B$305,$B56,$S$6:$S$305,"OK")&gt;$L56),"ALTO",IF(AND($F56&gt;0,$L56&lt;=$K56),"MÉDIO","BAIXO")))))</f>
        <v/>
      </c>
      <c r="Q56" s="25">
        <f>IF(COUNTA($A56:$B56,$E56:$G56,$R56)=0,"",IF($S56&lt;&gt;"OK","REVISAR",IF($O56="SEM AÇÃO","BAIXA",IF(OR($P56="ALTO",ABS($N56)&gt;='Configurações'!$B$3),"URGENTE",IF(OR($P56="MÉDIO",'Configurações'!$B$5-$R56&gt;'Configurações'!$B$4),"ALTA","NORMAL")))))</f>
        <v/>
      </c>
      <c r="R56" s="23" t="n"/>
      <c r="S56" s="25">
        <f>IF(COUNTA($A56:$B56,$E56:$G56,$R56)=0,"",IF($A56="","ID AUSENTE",IF(COUNTIF($A$6:$A$305,$A56)&gt;1,"ID DUPLICADO",IF($B56="","SKU AUSENTE",IF(COUNTIF('Estoque Central'!$A$6:$A$205,$B56)=0,"SKU NÃO CADASTRADO",IF(IFERROR(VLOOKUP($B56,'Estoque Central'!$A$6:$M$205,13,FALSE),"")&lt;&gt;"OK","ESTOQUE CENTRAL COM PENDÊNCIA",IF($E56="","CANAL AUSENTE",IF(COUNTIF('Configurações'!$A$11:$A$20,$E56)=0,"CANAL NÃO CONFIGURADO",IF(IFERROR(VLOOKUP($E56,'Configurações'!$A$11:$F$20,6,FALSE),"")&lt;&gt;"OK","CANAL COM PENDÊNCIA",IF(COUNTIFS($B$6:$B$305,$B56,$E$6:$E$305,$E56)&gt;1,"SKU/CANAL DUPLICADO",IF(IFERROR(OR(NOT(ISNUMBER($F56)),$F56&lt;0,MOD($F56,1)&lt;&gt;0),TRUE),"SALDO PUBLICADO INVÁLIDO",IF(IFERROR(OR(NOT(ISNUMBER($G56)),$G56&lt;0,MOD($G56,1)&lt;&gt;0),TRUE),"PEDIDOS PENDENTES INVÁLIDOS",IF(IFERROR(OR(NOT(ISNUMBER($R56)),$R56&gt;'Configurações'!$B$5),TRUE),"DATA INVÁLIDA","OK")))))))))))))</f>
        <v/>
      </c>
    </row>
    <row r="57">
      <c r="A57" s="21" t="n"/>
      <c r="B57" s="21" t="n"/>
      <c r="C57" s="27">
        <f>IFERROR(VLOOKUP($B57,'Estoque Central'!$A$6:$M$205,2,FALSE),"")</f>
        <v/>
      </c>
      <c r="D57" s="25">
        <f>IFERROR(VLOOKUP($B57,'Estoque Central'!$A$6:$M$205,3,FALSE),"")</f>
        <v/>
      </c>
      <c r="E57" s="21" t="n"/>
      <c r="F57" s="22" t="n"/>
      <c r="G57" s="22" t="n"/>
      <c r="H57" s="25">
        <f>IFERROR(VLOOKUP($E57,'Configurações'!$A$11:$F$20,2,FALSE),"")</f>
        <v/>
      </c>
      <c r="I57" s="28">
        <f>IFERROR(VLOOKUP($E57,'Configurações'!$A$11:$F$20,3,FALSE),"")</f>
        <v/>
      </c>
      <c r="J57" s="24">
        <f>IFERROR(VLOOKUP($E57,'Configurações'!$A$11:$F$20,4,FALSE),"")</f>
        <v/>
      </c>
      <c r="K57" s="24">
        <f>IFERROR(VLOOKUP($E57,'Configurações'!$A$11:$F$20,5,FALSE),"")</f>
        <v/>
      </c>
      <c r="L57" s="24">
        <f>IFERROR(VLOOKUP($B57,'Estoque Central'!$A$6:$M$205,9,FALSE),"")</f>
        <v/>
      </c>
      <c r="M57" s="24">
        <f>IF(COUNTA($A57:$B57,$E57:$G57,$R57)=0,"",IFERROR(IF(OR($C57="",$H57=""),"",IF(OR($D57&lt;&gt;"Ativo",$H57&lt;&gt;"Sim"),0,MIN(IF($J57="",$L57,$J57),ROUNDDOWN($L57*$I57,0)))),""))</f>
        <v/>
      </c>
      <c r="N57" s="24">
        <f>IF(OR($M57="",NOT(ISNUMBER($F57))),"",$M57-$F57)</f>
        <v/>
      </c>
      <c r="O57" s="25">
        <f>IF(COUNTA($A57:$B57,$E57:$G57,$R57)=0,"",IF($S57&lt;&gt;"OK","REVISAR CADASTRO",IF($N57&gt;0,"AUMENTAR",IF($N57&lt;0,"REDUZIR","SEM AÇÃO"))))</f>
        <v/>
      </c>
      <c r="P57" s="25">
        <f>IF(COUNTA($A57:$B57,$E57:$G57,$R57)=0,"",IF($S57&lt;&gt;"OK","REVISAR",IF(OR($D57&lt;&gt;"Ativo",$H57&lt;&gt;"Sim"),IF($F57&gt;0,"ALTO","SEM EXPOSIÇÃO"),IF(OR($F57&gt;$M57,SUMIFS($F$6:$F$305,$B$6:$B$305,$B57,$S$6:$S$305,"OK")&gt;$L57),"ALTO",IF(AND($F57&gt;0,$L57&lt;=$K57),"MÉDIO","BAIXO")))))</f>
        <v/>
      </c>
      <c r="Q57" s="25">
        <f>IF(COUNTA($A57:$B57,$E57:$G57,$R57)=0,"",IF($S57&lt;&gt;"OK","REVISAR",IF($O57="SEM AÇÃO","BAIXA",IF(OR($P57="ALTO",ABS($N57)&gt;='Configurações'!$B$3),"URGENTE",IF(OR($P57="MÉDIO",'Configurações'!$B$5-$R57&gt;'Configurações'!$B$4),"ALTA","NORMAL")))))</f>
        <v/>
      </c>
      <c r="R57" s="23" t="n"/>
      <c r="S57" s="25">
        <f>IF(COUNTA($A57:$B57,$E57:$G57,$R57)=0,"",IF($A57="","ID AUSENTE",IF(COUNTIF($A$6:$A$305,$A57)&gt;1,"ID DUPLICADO",IF($B57="","SKU AUSENTE",IF(COUNTIF('Estoque Central'!$A$6:$A$205,$B57)=0,"SKU NÃO CADASTRADO",IF(IFERROR(VLOOKUP($B57,'Estoque Central'!$A$6:$M$205,13,FALSE),"")&lt;&gt;"OK","ESTOQUE CENTRAL COM PENDÊNCIA",IF($E57="","CANAL AUSENTE",IF(COUNTIF('Configurações'!$A$11:$A$20,$E57)=0,"CANAL NÃO CONFIGURADO",IF(IFERROR(VLOOKUP($E57,'Configurações'!$A$11:$F$20,6,FALSE),"")&lt;&gt;"OK","CANAL COM PENDÊNCIA",IF(COUNTIFS($B$6:$B$305,$B57,$E$6:$E$305,$E57)&gt;1,"SKU/CANAL DUPLICADO",IF(IFERROR(OR(NOT(ISNUMBER($F57)),$F57&lt;0,MOD($F57,1)&lt;&gt;0),TRUE),"SALDO PUBLICADO INVÁLIDO",IF(IFERROR(OR(NOT(ISNUMBER($G57)),$G57&lt;0,MOD($G57,1)&lt;&gt;0),TRUE),"PEDIDOS PENDENTES INVÁLIDOS",IF(IFERROR(OR(NOT(ISNUMBER($R57)),$R57&gt;'Configurações'!$B$5),TRUE),"DATA INVÁLIDA","OK")))))))))))))</f>
        <v/>
      </c>
    </row>
    <row r="58">
      <c r="A58" s="21" t="n"/>
      <c r="B58" s="21" t="n"/>
      <c r="C58" s="27">
        <f>IFERROR(VLOOKUP($B58,'Estoque Central'!$A$6:$M$205,2,FALSE),"")</f>
        <v/>
      </c>
      <c r="D58" s="25">
        <f>IFERROR(VLOOKUP($B58,'Estoque Central'!$A$6:$M$205,3,FALSE),"")</f>
        <v/>
      </c>
      <c r="E58" s="21" t="n"/>
      <c r="F58" s="22" t="n"/>
      <c r="G58" s="22" t="n"/>
      <c r="H58" s="25">
        <f>IFERROR(VLOOKUP($E58,'Configurações'!$A$11:$F$20,2,FALSE),"")</f>
        <v/>
      </c>
      <c r="I58" s="28">
        <f>IFERROR(VLOOKUP($E58,'Configurações'!$A$11:$F$20,3,FALSE),"")</f>
        <v/>
      </c>
      <c r="J58" s="24">
        <f>IFERROR(VLOOKUP($E58,'Configurações'!$A$11:$F$20,4,FALSE),"")</f>
        <v/>
      </c>
      <c r="K58" s="24">
        <f>IFERROR(VLOOKUP($E58,'Configurações'!$A$11:$F$20,5,FALSE),"")</f>
        <v/>
      </c>
      <c r="L58" s="24">
        <f>IFERROR(VLOOKUP($B58,'Estoque Central'!$A$6:$M$205,9,FALSE),"")</f>
        <v/>
      </c>
      <c r="M58" s="24">
        <f>IF(COUNTA($A58:$B58,$E58:$G58,$R58)=0,"",IFERROR(IF(OR($C58="",$H58=""),"",IF(OR($D58&lt;&gt;"Ativo",$H58&lt;&gt;"Sim"),0,MIN(IF($J58="",$L58,$J58),ROUNDDOWN($L58*$I58,0)))),""))</f>
        <v/>
      </c>
      <c r="N58" s="24">
        <f>IF(OR($M58="",NOT(ISNUMBER($F58))),"",$M58-$F58)</f>
        <v/>
      </c>
      <c r="O58" s="25">
        <f>IF(COUNTA($A58:$B58,$E58:$G58,$R58)=0,"",IF($S58&lt;&gt;"OK","REVISAR CADASTRO",IF($N58&gt;0,"AUMENTAR",IF($N58&lt;0,"REDUZIR","SEM AÇÃO"))))</f>
        <v/>
      </c>
      <c r="P58" s="25">
        <f>IF(COUNTA($A58:$B58,$E58:$G58,$R58)=0,"",IF($S58&lt;&gt;"OK","REVISAR",IF(OR($D58&lt;&gt;"Ativo",$H58&lt;&gt;"Sim"),IF($F58&gt;0,"ALTO","SEM EXPOSIÇÃO"),IF(OR($F58&gt;$M58,SUMIFS($F$6:$F$305,$B$6:$B$305,$B58,$S$6:$S$305,"OK")&gt;$L58),"ALTO",IF(AND($F58&gt;0,$L58&lt;=$K58),"MÉDIO","BAIXO")))))</f>
        <v/>
      </c>
      <c r="Q58" s="25">
        <f>IF(COUNTA($A58:$B58,$E58:$G58,$R58)=0,"",IF($S58&lt;&gt;"OK","REVISAR",IF($O58="SEM AÇÃO","BAIXA",IF(OR($P58="ALTO",ABS($N58)&gt;='Configurações'!$B$3),"URGENTE",IF(OR($P58="MÉDIO",'Configurações'!$B$5-$R58&gt;'Configurações'!$B$4),"ALTA","NORMAL")))))</f>
        <v/>
      </c>
      <c r="R58" s="23" t="n"/>
      <c r="S58" s="25">
        <f>IF(COUNTA($A58:$B58,$E58:$G58,$R58)=0,"",IF($A58="","ID AUSENTE",IF(COUNTIF($A$6:$A$305,$A58)&gt;1,"ID DUPLICADO",IF($B58="","SKU AUSENTE",IF(COUNTIF('Estoque Central'!$A$6:$A$205,$B58)=0,"SKU NÃO CADASTRADO",IF(IFERROR(VLOOKUP($B58,'Estoque Central'!$A$6:$M$205,13,FALSE),"")&lt;&gt;"OK","ESTOQUE CENTRAL COM PENDÊNCIA",IF($E58="","CANAL AUSENTE",IF(COUNTIF('Configurações'!$A$11:$A$20,$E58)=0,"CANAL NÃO CONFIGURADO",IF(IFERROR(VLOOKUP($E58,'Configurações'!$A$11:$F$20,6,FALSE),"")&lt;&gt;"OK","CANAL COM PENDÊNCIA",IF(COUNTIFS($B$6:$B$305,$B58,$E$6:$E$305,$E58)&gt;1,"SKU/CANAL DUPLICADO",IF(IFERROR(OR(NOT(ISNUMBER($F58)),$F58&lt;0,MOD($F58,1)&lt;&gt;0),TRUE),"SALDO PUBLICADO INVÁLIDO",IF(IFERROR(OR(NOT(ISNUMBER($G58)),$G58&lt;0,MOD($G58,1)&lt;&gt;0),TRUE),"PEDIDOS PENDENTES INVÁLIDOS",IF(IFERROR(OR(NOT(ISNUMBER($R58)),$R58&gt;'Configurações'!$B$5),TRUE),"DATA INVÁLIDA","OK")))))))))))))</f>
        <v/>
      </c>
    </row>
    <row r="59">
      <c r="A59" s="21" t="n"/>
      <c r="B59" s="21" t="n"/>
      <c r="C59" s="27">
        <f>IFERROR(VLOOKUP($B59,'Estoque Central'!$A$6:$M$205,2,FALSE),"")</f>
        <v/>
      </c>
      <c r="D59" s="25">
        <f>IFERROR(VLOOKUP($B59,'Estoque Central'!$A$6:$M$205,3,FALSE),"")</f>
        <v/>
      </c>
      <c r="E59" s="21" t="n"/>
      <c r="F59" s="22" t="n"/>
      <c r="G59" s="22" t="n"/>
      <c r="H59" s="25">
        <f>IFERROR(VLOOKUP($E59,'Configurações'!$A$11:$F$20,2,FALSE),"")</f>
        <v/>
      </c>
      <c r="I59" s="28">
        <f>IFERROR(VLOOKUP($E59,'Configurações'!$A$11:$F$20,3,FALSE),"")</f>
        <v/>
      </c>
      <c r="J59" s="24">
        <f>IFERROR(VLOOKUP($E59,'Configurações'!$A$11:$F$20,4,FALSE),"")</f>
        <v/>
      </c>
      <c r="K59" s="24">
        <f>IFERROR(VLOOKUP($E59,'Configurações'!$A$11:$F$20,5,FALSE),"")</f>
        <v/>
      </c>
      <c r="L59" s="24">
        <f>IFERROR(VLOOKUP($B59,'Estoque Central'!$A$6:$M$205,9,FALSE),"")</f>
        <v/>
      </c>
      <c r="M59" s="24">
        <f>IF(COUNTA($A59:$B59,$E59:$G59,$R59)=0,"",IFERROR(IF(OR($C59="",$H59=""),"",IF(OR($D59&lt;&gt;"Ativo",$H59&lt;&gt;"Sim"),0,MIN(IF($J59="",$L59,$J59),ROUNDDOWN($L59*$I59,0)))),""))</f>
        <v/>
      </c>
      <c r="N59" s="24">
        <f>IF(OR($M59="",NOT(ISNUMBER($F59))),"",$M59-$F59)</f>
        <v/>
      </c>
      <c r="O59" s="25">
        <f>IF(COUNTA($A59:$B59,$E59:$G59,$R59)=0,"",IF($S59&lt;&gt;"OK","REVISAR CADASTRO",IF($N59&gt;0,"AUMENTAR",IF($N59&lt;0,"REDUZIR","SEM AÇÃO"))))</f>
        <v/>
      </c>
      <c r="P59" s="25">
        <f>IF(COUNTA($A59:$B59,$E59:$G59,$R59)=0,"",IF($S59&lt;&gt;"OK","REVISAR",IF(OR($D59&lt;&gt;"Ativo",$H59&lt;&gt;"Sim"),IF($F59&gt;0,"ALTO","SEM EXPOSIÇÃO"),IF(OR($F59&gt;$M59,SUMIFS($F$6:$F$305,$B$6:$B$305,$B59,$S$6:$S$305,"OK")&gt;$L59),"ALTO",IF(AND($F59&gt;0,$L59&lt;=$K59),"MÉDIO","BAIXO")))))</f>
        <v/>
      </c>
      <c r="Q59" s="25">
        <f>IF(COUNTA($A59:$B59,$E59:$G59,$R59)=0,"",IF($S59&lt;&gt;"OK","REVISAR",IF($O59="SEM AÇÃO","BAIXA",IF(OR($P59="ALTO",ABS($N59)&gt;='Configurações'!$B$3),"URGENTE",IF(OR($P59="MÉDIO",'Configurações'!$B$5-$R59&gt;'Configurações'!$B$4),"ALTA","NORMAL")))))</f>
        <v/>
      </c>
      <c r="R59" s="23" t="n"/>
      <c r="S59" s="25">
        <f>IF(COUNTA($A59:$B59,$E59:$G59,$R59)=0,"",IF($A59="","ID AUSENTE",IF(COUNTIF($A$6:$A$305,$A59)&gt;1,"ID DUPLICADO",IF($B59="","SKU AUSENTE",IF(COUNTIF('Estoque Central'!$A$6:$A$205,$B59)=0,"SKU NÃO CADASTRADO",IF(IFERROR(VLOOKUP($B59,'Estoque Central'!$A$6:$M$205,13,FALSE),"")&lt;&gt;"OK","ESTOQUE CENTRAL COM PENDÊNCIA",IF($E59="","CANAL AUSENTE",IF(COUNTIF('Configurações'!$A$11:$A$20,$E59)=0,"CANAL NÃO CONFIGURADO",IF(IFERROR(VLOOKUP($E59,'Configurações'!$A$11:$F$20,6,FALSE),"")&lt;&gt;"OK","CANAL COM PENDÊNCIA",IF(COUNTIFS($B$6:$B$305,$B59,$E$6:$E$305,$E59)&gt;1,"SKU/CANAL DUPLICADO",IF(IFERROR(OR(NOT(ISNUMBER($F59)),$F59&lt;0,MOD($F59,1)&lt;&gt;0),TRUE),"SALDO PUBLICADO INVÁLIDO",IF(IFERROR(OR(NOT(ISNUMBER($G59)),$G59&lt;0,MOD($G59,1)&lt;&gt;0),TRUE),"PEDIDOS PENDENTES INVÁLIDOS",IF(IFERROR(OR(NOT(ISNUMBER($R59)),$R59&gt;'Configurações'!$B$5),TRUE),"DATA INVÁLIDA","OK")))))))))))))</f>
        <v/>
      </c>
    </row>
    <row r="60">
      <c r="A60" s="21" t="n"/>
      <c r="B60" s="21" t="n"/>
      <c r="C60" s="27">
        <f>IFERROR(VLOOKUP($B60,'Estoque Central'!$A$6:$M$205,2,FALSE),"")</f>
        <v/>
      </c>
      <c r="D60" s="25">
        <f>IFERROR(VLOOKUP($B60,'Estoque Central'!$A$6:$M$205,3,FALSE),"")</f>
        <v/>
      </c>
      <c r="E60" s="21" t="n"/>
      <c r="F60" s="22" t="n"/>
      <c r="G60" s="22" t="n"/>
      <c r="H60" s="25">
        <f>IFERROR(VLOOKUP($E60,'Configurações'!$A$11:$F$20,2,FALSE),"")</f>
        <v/>
      </c>
      <c r="I60" s="28">
        <f>IFERROR(VLOOKUP($E60,'Configurações'!$A$11:$F$20,3,FALSE),"")</f>
        <v/>
      </c>
      <c r="J60" s="24">
        <f>IFERROR(VLOOKUP($E60,'Configurações'!$A$11:$F$20,4,FALSE),"")</f>
        <v/>
      </c>
      <c r="K60" s="24">
        <f>IFERROR(VLOOKUP($E60,'Configurações'!$A$11:$F$20,5,FALSE),"")</f>
        <v/>
      </c>
      <c r="L60" s="24">
        <f>IFERROR(VLOOKUP($B60,'Estoque Central'!$A$6:$M$205,9,FALSE),"")</f>
        <v/>
      </c>
      <c r="M60" s="24">
        <f>IF(COUNTA($A60:$B60,$E60:$G60,$R60)=0,"",IFERROR(IF(OR($C60="",$H60=""),"",IF(OR($D60&lt;&gt;"Ativo",$H60&lt;&gt;"Sim"),0,MIN(IF($J60="",$L60,$J60),ROUNDDOWN($L60*$I60,0)))),""))</f>
        <v/>
      </c>
      <c r="N60" s="24">
        <f>IF(OR($M60="",NOT(ISNUMBER($F60))),"",$M60-$F60)</f>
        <v/>
      </c>
      <c r="O60" s="25">
        <f>IF(COUNTA($A60:$B60,$E60:$G60,$R60)=0,"",IF($S60&lt;&gt;"OK","REVISAR CADASTRO",IF($N60&gt;0,"AUMENTAR",IF($N60&lt;0,"REDUZIR","SEM AÇÃO"))))</f>
        <v/>
      </c>
      <c r="P60" s="25">
        <f>IF(COUNTA($A60:$B60,$E60:$G60,$R60)=0,"",IF($S60&lt;&gt;"OK","REVISAR",IF(OR($D60&lt;&gt;"Ativo",$H60&lt;&gt;"Sim"),IF($F60&gt;0,"ALTO","SEM EXPOSIÇÃO"),IF(OR($F60&gt;$M60,SUMIFS($F$6:$F$305,$B$6:$B$305,$B60,$S$6:$S$305,"OK")&gt;$L60),"ALTO",IF(AND($F60&gt;0,$L60&lt;=$K60),"MÉDIO","BAIXO")))))</f>
        <v/>
      </c>
      <c r="Q60" s="25">
        <f>IF(COUNTA($A60:$B60,$E60:$G60,$R60)=0,"",IF($S60&lt;&gt;"OK","REVISAR",IF($O60="SEM AÇÃO","BAIXA",IF(OR($P60="ALTO",ABS($N60)&gt;='Configurações'!$B$3),"URGENTE",IF(OR($P60="MÉDIO",'Configurações'!$B$5-$R60&gt;'Configurações'!$B$4),"ALTA","NORMAL")))))</f>
        <v/>
      </c>
      <c r="R60" s="23" t="n"/>
      <c r="S60" s="25">
        <f>IF(COUNTA($A60:$B60,$E60:$G60,$R60)=0,"",IF($A60="","ID AUSENTE",IF(COUNTIF($A$6:$A$305,$A60)&gt;1,"ID DUPLICADO",IF($B60="","SKU AUSENTE",IF(COUNTIF('Estoque Central'!$A$6:$A$205,$B60)=0,"SKU NÃO CADASTRADO",IF(IFERROR(VLOOKUP($B60,'Estoque Central'!$A$6:$M$205,13,FALSE),"")&lt;&gt;"OK","ESTOQUE CENTRAL COM PENDÊNCIA",IF($E60="","CANAL AUSENTE",IF(COUNTIF('Configurações'!$A$11:$A$20,$E60)=0,"CANAL NÃO CONFIGURADO",IF(IFERROR(VLOOKUP($E60,'Configurações'!$A$11:$F$20,6,FALSE),"")&lt;&gt;"OK","CANAL COM PENDÊNCIA",IF(COUNTIFS($B$6:$B$305,$B60,$E$6:$E$305,$E60)&gt;1,"SKU/CANAL DUPLICADO",IF(IFERROR(OR(NOT(ISNUMBER($F60)),$F60&lt;0,MOD($F60,1)&lt;&gt;0),TRUE),"SALDO PUBLICADO INVÁLIDO",IF(IFERROR(OR(NOT(ISNUMBER($G60)),$G60&lt;0,MOD($G60,1)&lt;&gt;0),TRUE),"PEDIDOS PENDENTES INVÁLIDOS",IF(IFERROR(OR(NOT(ISNUMBER($R60)),$R60&gt;'Configurações'!$B$5),TRUE),"DATA INVÁLIDA","OK")))))))))))))</f>
        <v/>
      </c>
    </row>
    <row r="61">
      <c r="A61" s="21" t="n"/>
      <c r="B61" s="21" t="n"/>
      <c r="C61" s="27">
        <f>IFERROR(VLOOKUP($B61,'Estoque Central'!$A$6:$M$205,2,FALSE),"")</f>
        <v/>
      </c>
      <c r="D61" s="25">
        <f>IFERROR(VLOOKUP($B61,'Estoque Central'!$A$6:$M$205,3,FALSE),"")</f>
        <v/>
      </c>
      <c r="E61" s="21" t="n"/>
      <c r="F61" s="22" t="n"/>
      <c r="G61" s="22" t="n"/>
      <c r="H61" s="25">
        <f>IFERROR(VLOOKUP($E61,'Configurações'!$A$11:$F$20,2,FALSE),"")</f>
        <v/>
      </c>
      <c r="I61" s="28">
        <f>IFERROR(VLOOKUP($E61,'Configurações'!$A$11:$F$20,3,FALSE),"")</f>
        <v/>
      </c>
      <c r="J61" s="24">
        <f>IFERROR(VLOOKUP($E61,'Configurações'!$A$11:$F$20,4,FALSE),"")</f>
        <v/>
      </c>
      <c r="K61" s="24">
        <f>IFERROR(VLOOKUP($E61,'Configurações'!$A$11:$F$20,5,FALSE),"")</f>
        <v/>
      </c>
      <c r="L61" s="24">
        <f>IFERROR(VLOOKUP($B61,'Estoque Central'!$A$6:$M$205,9,FALSE),"")</f>
        <v/>
      </c>
      <c r="M61" s="24">
        <f>IF(COUNTA($A61:$B61,$E61:$G61,$R61)=0,"",IFERROR(IF(OR($C61="",$H61=""),"",IF(OR($D61&lt;&gt;"Ativo",$H61&lt;&gt;"Sim"),0,MIN(IF($J61="",$L61,$J61),ROUNDDOWN($L61*$I61,0)))),""))</f>
        <v/>
      </c>
      <c r="N61" s="24">
        <f>IF(OR($M61="",NOT(ISNUMBER($F61))),"",$M61-$F61)</f>
        <v/>
      </c>
      <c r="O61" s="25">
        <f>IF(COUNTA($A61:$B61,$E61:$G61,$R61)=0,"",IF($S61&lt;&gt;"OK","REVISAR CADASTRO",IF($N61&gt;0,"AUMENTAR",IF($N61&lt;0,"REDUZIR","SEM AÇÃO"))))</f>
        <v/>
      </c>
      <c r="P61" s="25">
        <f>IF(COUNTA($A61:$B61,$E61:$G61,$R61)=0,"",IF($S61&lt;&gt;"OK","REVISAR",IF(OR($D61&lt;&gt;"Ativo",$H61&lt;&gt;"Sim"),IF($F61&gt;0,"ALTO","SEM EXPOSIÇÃO"),IF(OR($F61&gt;$M61,SUMIFS($F$6:$F$305,$B$6:$B$305,$B61,$S$6:$S$305,"OK")&gt;$L61),"ALTO",IF(AND($F61&gt;0,$L61&lt;=$K61),"MÉDIO","BAIXO")))))</f>
        <v/>
      </c>
      <c r="Q61" s="25">
        <f>IF(COUNTA($A61:$B61,$E61:$G61,$R61)=0,"",IF($S61&lt;&gt;"OK","REVISAR",IF($O61="SEM AÇÃO","BAIXA",IF(OR($P61="ALTO",ABS($N61)&gt;='Configurações'!$B$3),"URGENTE",IF(OR($P61="MÉDIO",'Configurações'!$B$5-$R61&gt;'Configurações'!$B$4),"ALTA","NORMAL")))))</f>
        <v/>
      </c>
      <c r="R61" s="23" t="n"/>
      <c r="S61" s="25">
        <f>IF(COUNTA($A61:$B61,$E61:$G61,$R61)=0,"",IF($A61="","ID AUSENTE",IF(COUNTIF($A$6:$A$305,$A61)&gt;1,"ID DUPLICADO",IF($B61="","SKU AUSENTE",IF(COUNTIF('Estoque Central'!$A$6:$A$205,$B61)=0,"SKU NÃO CADASTRADO",IF(IFERROR(VLOOKUP($B61,'Estoque Central'!$A$6:$M$205,13,FALSE),"")&lt;&gt;"OK","ESTOQUE CENTRAL COM PENDÊNCIA",IF($E61="","CANAL AUSENTE",IF(COUNTIF('Configurações'!$A$11:$A$20,$E61)=0,"CANAL NÃO CONFIGURADO",IF(IFERROR(VLOOKUP($E61,'Configurações'!$A$11:$F$20,6,FALSE),"")&lt;&gt;"OK","CANAL COM PENDÊNCIA",IF(COUNTIFS($B$6:$B$305,$B61,$E$6:$E$305,$E61)&gt;1,"SKU/CANAL DUPLICADO",IF(IFERROR(OR(NOT(ISNUMBER($F61)),$F61&lt;0,MOD($F61,1)&lt;&gt;0),TRUE),"SALDO PUBLICADO INVÁLIDO",IF(IFERROR(OR(NOT(ISNUMBER($G61)),$G61&lt;0,MOD($G61,1)&lt;&gt;0),TRUE),"PEDIDOS PENDENTES INVÁLIDOS",IF(IFERROR(OR(NOT(ISNUMBER($R61)),$R61&gt;'Configurações'!$B$5),TRUE),"DATA INVÁLIDA","OK")))))))))))))</f>
        <v/>
      </c>
    </row>
    <row r="62">
      <c r="A62" s="21" t="n"/>
      <c r="B62" s="21" t="n"/>
      <c r="C62" s="27">
        <f>IFERROR(VLOOKUP($B62,'Estoque Central'!$A$6:$M$205,2,FALSE),"")</f>
        <v/>
      </c>
      <c r="D62" s="25">
        <f>IFERROR(VLOOKUP($B62,'Estoque Central'!$A$6:$M$205,3,FALSE),"")</f>
        <v/>
      </c>
      <c r="E62" s="21" t="n"/>
      <c r="F62" s="22" t="n"/>
      <c r="G62" s="22" t="n"/>
      <c r="H62" s="25">
        <f>IFERROR(VLOOKUP($E62,'Configurações'!$A$11:$F$20,2,FALSE),"")</f>
        <v/>
      </c>
      <c r="I62" s="28">
        <f>IFERROR(VLOOKUP($E62,'Configurações'!$A$11:$F$20,3,FALSE),"")</f>
        <v/>
      </c>
      <c r="J62" s="24">
        <f>IFERROR(VLOOKUP($E62,'Configurações'!$A$11:$F$20,4,FALSE),"")</f>
        <v/>
      </c>
      <c r="K62" s="24">
        <f>IFERROR(VLOOKUP($E62,'Configurações'!$A$11:$F$20,5,FALSE),"")</f>
        <v/>
      </c>
      <c r="L62" s="24">
        <f>IFERROR(VLOOKUP($B62,'Estoque Central'!$A$6:$M$205,9,FALSE),"")</f>
        <v/>
      </c>
      <c r="M62" s="24">
        <f>IF(COUNTA($A62:$B62,$E62:$G62,$R62)=0,"",IFERROR(IF(OR($C62="",$H62=""),"",IF(OR($D62&lt;&gt;"Ativo",$H62&lt;&gt;"Sim"),0,MIN(IF($J62="",$L62,$J62),ROUNDDOWN($L62*$I62,0)))),""))</f>
        <v/>
      </c>
      <c r="N62" s="24">
        <f>IF(OR($M62="",NOT(ISNUMBER($F62))),"",$M62-$F62)</f>
        <v/>
      </c>
      <c r="O62" s="25">
        <f>IF(COUNTA($A62:$B62,$E62:$G62,$R62)=0,"",IF($S62&lt;&gt;"OK","REVISAR CADASTRO",IF($N62&gt;0,"AUMENTAR",IF($N62&lt;0,"REDUZIR","SEM AÇÃO"))))</f>
        <v/>
      </c>
      <c r="P62" s="25">
        <f>IF(COUNTA($A62:$B62,$E62:$G62,$R62)=0,"",IF($S62&lt;&gt;"OK","REVISAR",IF(OR($D62&lt;&gt;"Ativo",$H62&lt;&gt;"Sim"),IF($F62&gt;0,"ALTO","SEM EXPOSIÇÃO"),IF(OR($F62&gt;$M62,SUMIFS($F$6:$F$305,$B$6:$B$305,$B62,$S$6:$S$305,"OK")&gt;$L62),"ALTO",IF(AND($F62&gt;0,$L62&lt;=$K62),"MÉDIO","BAIXO")))))</f>
        <v/>
      </c>
      <c r="Q62" s="25">
        <f>IF(COUNTA($A62:$B62,$E62:$G62,$R62)=0,"",IF($S62&lt;&gt;"OK","REVISAR",IF($O62="SEM AÇÃO","BAIXA",IF(OR($P62="ALTO",ABS($N62)&gt;='Configurações'!$B$3),"URGENTE",IF(OR($P62="MÉDIO",'Configurações'!$B$5-$R62&gt;'Configurações'!$B$4),"ALTA","NORMAL")))))</f>
        <v/>
      </c>
      <c r="R62" s="23" t="n"/>
      <c r="S62" s="25">
        <f>IF(COUNTA($A62:$B62,$E62:$G62,$R62)=0,"",IF($A62="","ID AUSENTE",IF(COUNTIF($A$6:$A$305,$A62)&gt;1,"ID DUPLICADO",IF($B62="","SKU AUSENTE",IF(COUNTIF('Estoque Central'!$A$6:$A$205,$B62)=0,"SKU NÃO CADASTRADO",IF(IFERROR(VLOOKUP($B62,'Estoque Central'!$A$6:$M$205,13,FALSE),"")&lt;&gt;"OK","ESTOQUE CENTRAL COM PENDÊNCIA",IF($E62="","CANAL AUSENTE",IF(COUNTIF('Configurações'!$A$11:$A$20,$E62)=0,"CANAL NÃO CONFIGURADO",IF(IFERROR(VLOOKUP($E62,'Configurações'!$A$11:$F$20,6,FALSE),"")&lt;&gt;"OK","CANAL COM PENDÊNCIA",IF(COUNTIFS($B$6:$B$305,$B62,$E$6:$E$305,$E62)&gt;1,"SKU/CANAL DUPLICADO",IF(IFERROR(OR(NOT(ISNUMBER($F62)),$F62&lt;0,MOD($F62,1)&lt;&gt;0),TRUE),"SALDO PUBLICADO INVÁLIDO",IF(IFERROR(OR(NOT(ISNUMBER($G62)),$G62&lt;0,MOD($G62,1)&lt;&gt;0),TRUE),"PEDIDOS PENDENTES INVÁLIDOS",IF(IFERROR(OR(NOT(ISNUMBER($R62)),$R62&gt;'Configurações'!$B$5),TRUE),"DATA INVÁLIDA","OK")))))))))))))</f>
        <v/>
      </c>
    </row>
    <row r="63">
      <c r="A63" s="21" t="n"/>
      <c r="B63" s="21" t="n"/>
      <c r="C63" s="27">
        <f>IFERROR(VLOOKUP($B63,'Estoque Central'!$A$6:$M$205,2,FALSE),"")</f>
        <v/>
      </c>
      <c r="D63" s="25">
        <f>IFERROR(VLOOKUP($B63,'Estoque Central'!$A$6:$M$205,3,FALSE),"")</f>
        <v/>
      </c>
      <c r="E63" s="21" t="n"/>
      <c r="F63" s="22" t="n"/>
      <c r="G63" s="22" t="n"/>
      <c r="H63" s="25">
        <f>IFERROR(VLOOKUP($E63,'Configurações'!$A$11:$F$20,2,FALSE),"")</f>
        <v/>
      </c>
      <c r="I63" s="28">
        <f>IFERROR(VLOOKUP($E63,'Configurações'!$A$11:$F$20,3,FALSE),"")</f>
        <v/>
      </c>
      <c r="J63" s="24">
        <f>IFERROR(VLOOKUP($E63,'Configurações'!$A$11:$F$20,4,FALSE),"")</f>
        <v/>
      </c>
      <c r="K63" s="24">
        <f>IFERROR(VLOOKUP($E63,'Configurações'!$A$11:$F$20,5,FALSE),"")</f>
        <v/>
      </c>
      <c r="L63" s="24">
        <f>IFERROR(VLOOKUP($B63,'Estoque Central'!$A$6:$M$205,9,FALSE),"")</f>
        <v/>
      </c>
      <c r="M63" s="24">
        <f>IF(COUNTA($A63:$B63,$E63:$G63,$R63)=0,"",IFERROR(IF(OR($C63="",$H63=""),"",IF(OR($D63&lt;&gt;"Ativo",$H63&lt;&gt;"Sim"),0,MIN(IF($J63="",$L63,$J63),ROUNDDOWN($L63*$I63,0)))),""))</f>
        <v/>
      </c>
      <c r="N63" s="24">
        <f>IF(OR($M63="",NOT(ISNUMBER($F63))),"",$M63-$F63)</f>
        <v/>
      </c>
      <c r="O63" s="25">
        <f>IF(COUNTA($A63:$B63,$E63:$G63,$R63)=0,"",IF($S63&lt;&gt;"OK","REVISAR CADASTRO",IF($N63&gt;0,"AUMENTAR",IF($N63&lt;0,"REDUZIR","SEM AÇÃO"))))</f>
        <v/>
      </c>
      <c r="P63" s="25">
        <f>IF(COUNTA($A63:$B63,$E63:$G63,$R63)=0,"",IF($S63&lt;&gt;"OK","REVISAR",IF(OR($D63&lt;&gt;"Ativo",$H63&lt;&gt;"Sim"),IF($F63&gt;0,"ALTO","SEM EXPOSIÇÃO"),IF(OR($F63&gt;$M63,SUMIFS($F$6:$F$305,$B$6:$B$305,$B63,$S$6:$S$305,"OK")&gt;$L63),"ALTO",IF(AND($F63&gt;0,$L63&lt;=$K63),"MÉDIO","BAIXO")))))</f>
        <v/>
      </c>
      <c r="Q63" s="25">
        <f>IF(COUNTA($A63:$B63,$E63:$G63,$R63)=0,"",IF($S63&lt;&gt;"OK","REVISAR",IF($O63="SEM AÇÃO","BAIXA",IF(OR($P63="ALTO",ABS($N63)&gt;='Configurações'!$B$3),"URGENTE",IF(OR($P63="MÉDIO",'Configurações'!$B$5-$R63&gt;'Configurações'!$B$4),"ALTA","NORMAL")))))</f>
        <v/>
      </c>
      <c r="R63" s="23" t="n"/>
      <c r="S63" s="25">
        <f>IF(COUNTA($A63:$B63,$E63:$G63,$R63)=0,"",IF($A63="","ID AUSENTE",IF(COUNTIF($A$6:$A$305,$A63)&gt;1,"ID DUPLICADO",IF($B63="","SKU AUSENTE",IF(COUNTIF('Estoque Central'!$A$6:$A$205,$B63)=0,"SKU NÃO CADASTRADO",IF(IFERROR(VLOOKUP($B63,'Estoque Central'!$A$6:$M$205,13,FALSE),"")&lt;&gt;"OK","ESTOQUE CENTRAL COM PENDÊNCIA",IF($E63="","CANAL AUSENTE",IF(COUNTIF('Configurações'!$A$11:$A$20,$E63)=0,"CANAL NÃO CONFIGURADO",IF(IFERROR(VLOOKUP($E63,'Configurações'!$A$11:$F$20,6,FALSE),"")&lt;&gt;"OK","CANAL COM PENDÊNCIA",IF(COUNTIFS($B$6:$B$305,$B63,$E$6:$E$305,$E63)&gt;1,"SKU/CANAL DUPLICADO",IF(IFERROR(OR(NOT(ISNUMBER($F63)),$F63&lt;0,MOD($F63,1)&lt;&gt;0),TRUE),"SALDO PUBLICADO INVÁLIDO",IF(IFERROR(OR(NOT(ISNUMBER($G63)),$G63&lt;0,MOD($G63,1)&lt;&gt;0),TRUE),"PEDIDOS PENDENTES INVÁLIDOS",IF(IFERROR(OR(NOT(ISNUMBER($R63)),$R63&gt;'Configurações'!$B$5),TRUE),"DATA INVÁLIDA","OK")))))))))))))</f>
        <v/>
      </c>
    </row>
    <row r="64">
      <c r="A64" s="21" t="n"/>
      <c r="B64" s="21" t="n"/>
      <c r="C64" s="27">
        <f>IFERROR(VLOOKUP($B64,'Estoque Central'!$A$6:$M$205,2,FALSE),"")</f>
        <v/>
      </c>
      <c r="D64" s="25">
        <f>IFERROR(VLOOKUP($B64,'Estoque Central'!$A$6:$M$205,3,FALSE),"")</f>
        <v/>
      </c>
      <c r="E64" s="21" t="n"/>
      <c r="F64" s="22" t="n"/>
      <c r="G64" s="22" t="n"/>
      <c r="H64" s="25">
        <f>IFERROR(VLOOKUP($E64,'Configurações'!$A$11:$F$20,2,FALSE),"")</f>
        <v/>
      </c>
      <c r="I64" s="28">
        <f>IFERROR(VLOOKUP($E64,'Configurações'!$A$11:$F$20,3,FALSE),"")</f>
        <v/>
      </c>
      <c r="J64" s="24">
        <f>IFERROR(VLOOKUP($E64,'Configurações'!$A$11:$F$20,4,FALSE),"")</f>
        <v/>
      </c>
      <c r="K64" s="24">
        <f>IFERROR(VLOOKUP($E64,'Configurações'!$A$11:$F$20,5,FALSE),"")</f>
        <v/>
      </c>
      <c r="L64" s="24">
        <f>IFERROR(VLOOKUP($B64,'Estoque Central'!$A$6:$M$205,9,FALSE),"")</f>
        <v/>
      </c>
      <c r="M64" s="24">
        <f>IF(COUNTA($A64:$B64,$E64:$G64,$R64)=0,"",IFERROR(IF(OR($C64="",$H64=""),"",IF(OR($D64&lt;&gt;"Ativo",$H64&lt;&gt;"Sim"),0,MIN(IF($J64="",$L64,$J64),ROUNDDOWN($L64*$I64,0)))),""))</f>
        <v/>
      </c>
      <c r="N64" s="24">
        <f>IF(OR($M64="",NOT(ISNUMBER($F64))),"",$M64-$F64)</f>
        <v/>
      </c>
      <c r="O64" s="25">
        <f>IF(COUNTA($A64:$B64,$E64:$G64,$R64)=0,"",IF($S64&lt;&gt;"OK","REVISAR CADASTRO",IF($N64&gt;0,"AUMENTAR",IF($N64&lt;0,"REDUZIR","SEM AÇÃO"))))</f>
        <v/>
      </c>
      <c r="P64" s="25">
        <f>IF(COUNTA($A64:$B64,$E64:$G64,$R64)=0,"",IF($S64&lt;&gt;"OK","REVISAR",IF(OR($D64&lt;&gt;"Ativo",$H64&lt;&gt;"Sim"),IF($F64&gt;0,"ALTO","SEM EXPOSIÇÃO"),IF(OR($F64&gt;$M64,SUMIFS($F$6:$F$305,$B$6:$B$305,$B64,$S$6:$S$305,"OK")&gt;$L64),"ALTO",IF(AND($F64&gt;0,$L64&lt;=$K64),"MÉDIO","BAIXO")))))</f>
        <v/>
      </c>
      <c r="Q64" s="25">
        <f>IF(COUNTA($A64:$B64,$E64:$G64,$R64)=0,"",IF($S64&lt;&gt;"OK","REVISAR",IF($O64="SEM AÇÃO","BAIXA",IF(OR($P64="ALTO",ABS($N64)&gt;='Configurações'!$B$3),"URGENTE",IF(OR($P64="MÉDIO",'Configurações'!$B$5-$R64&gt;'Configurações'!$B$4),"ALTA","NORMAL")))))</f>
        <v/>
      </c>
      <c r="R64" s="23" t="n"/>
      <c r="S64" s="25">
        <f>IF(COUNTA($A64:$B64,$E64:$G64,$R64)=0,"",IF($A64="","ID AUSENTE",IF(COUNTIF($A$6:$A$305,$A64)&gt;1,"ID DUPLICADO",IF($B64="","SKU AUSENTE",IF(COUNTIF('Estoque Central'!$A$6:$A$205,$B64)=0,"SKU NÃO CADASTRADO",IF(IFERROR(VLOOKUP($B64,'Estoque Central'!$A$6:$M$205,13,FALSE),"")&lt;&gt;"OK","ESTOQUE CENTRAL COM PENDÊNCIA",IF($E64="","CANAL AUSENTE",IF(COUNTIF('Configurações'!$A$11:$A$20,$E64)=0,"CANAL NÃO CONFIGURADO",IF(IFERROR(VLOOKUP($E64,'Configurações'!$A$11:$F$20,6,FALSE),"")&lt;&gt;"OK","CANAL COM PENDÊNCIA",IF(COUNTIFS($B$6:$B$305,$B64,$E$6:$E$305,$E64)&gt;1,"SKU/CANAL DUPLICADO",IF(IFERROR(OR(NOT(ISNUMBER($F64)),$F64&lt;0,MOD($F64,1)&lt;&gt;0),TRUE),"SALDO PUBLICADO INVÁLIDO",IF(IFERROR(OR(NOT(ISNUMBER($G64)),$G64&lt;0,MOD($G64,1)&lt;&gt;0),TRUE),"PEDIDOS PENDENTES INVÁLIDOS",IF(IFERROR(OR(NOT(ISNUMBER($R64)),$R64&gt;'Configurações'!$B$5),TRUE),"DATA INVÁLIDA","OK")))))))))))))</f>
        <v/>
      </c>
    </row>
    <row r="65">
      <c r="A65" s="21" t="n"/>
      <c r="B65" s="21" t="n"/>
      <c r="C65" s="27">
        <f>IFERROR(VLOOKUP($B65,'Estoque Central'!$A$6:$M$205,2,FALSE),"")</f>
        <v/>
      </c>
      <c r="D65" s="25">
        <f>IFERROR(VLOOKUP($B65,'Estoque Central'!$A$6:$M$205,3,FALSE),"")</f>
        <v/>
      </c>
      <c r="E65" s="21" t="n"/>
      <c r="F65" s="22" t="n"/>
      <c r="G65" s="22" t="n"/>
      <c r="H65" s="25">
        <f>IFERROR(VLOOKUP($E65,'Configurações'!$A$11:$F$20,2,FALSE),"")</f>
        <v/>
      </c>
      <c r="I65" s="28">
        <f>IFERROR(VLOOKUP($E65,'Configurações'!$A$11:$F$20,3,FALSE),"")</f>
        <v/>
      </c>
      <c r="J65" s="24">
        <f>IFERROR(VLOOKUP($E65,'Configurações'!$A$11:$F$20,4,FALSE),"")</f>
        <v/>
      </c>
      <c r="K65" s="24">
        <f>IFERROR(VLOOKUP($E65,'Configurações'!$A$11:$F$20,5,FALSE),"")</f>
        <v/>
      </c>
      <c r="L65" s="24">
        <f>IFERROR(VLOOKUP($B65,'Estoque Central'!$A$6:$M$205,9,FALSE),"")</f>
        <v/>
      </c>
      <c r="M65" s="24">
        <f>IF(COUNTA($A65:$B65,$E65:$G65,$R65)=0,"",IFERROR(IF(OR($C65="",$H65=""),"",IF(OR($D65&lt;&gt;"Ativo",$H65&lt;&gt;"Sim"),0,MIN(IF($J65="",$L65,$J65),ROUNDDOWN($L65*$I65,0)))),""))</f>
        <v/>
      </c>
      <c r="N65" s="24">
        <f>IF(OR($M65="",NOT(ISNUMBER($F65))),"",$M65-$F65)</f>
        <v/>
      </c>
      <c r="O65" s="25">
        <f>IF(COUNTA($A65:$B65,$E65:$G65,$R65)=0,"",IF($S65&lt;&gt;"OK","REVISAR CADASTRO",IF($N65&gt;0,"AUMENTAR",IF($N65&lt;0,"REDUZIR","SEM AÇÃO"))))</f>
        <v/>
      </c>
      <c r="P65" s="25">
        <f>IF(COUNTA($A65:$B65,$E65:$G65,$R65)=0,"",IF($S65&lt;&gt;"OK","REVISAR",IF(OR($D65&lt;&gt;"Ativo",$H65&lt;&gt;"Sim"),IF($F65&gt;0,"ALTO","SEM EXPOSIÇÃO"),IF(OR($F65&gt;$M65,SUMIFS($F$6:$F$305,$B$6:$B$305,$B65,$S$6:$S$305,"OK")&gt;$L65),"ALTO",IF(AND($F65&gt;0,$L65&lt;=$K65),"MÉDIO","BAIXO")))))</f>
        <v/>
      </c>
      <c r="Q65" s="25">
        <f>IF(COUNTA($A65:$B65,$E65:$G65,$R65)=0,"",IF($S65&lt;&gt;"OK","REVISAR",IF($O65="SEM AÇÃO","BAIXA",IF(OR($P65="ALTO",ABS($N65)&gt;='Configurações'!$B$3),"URGENTE",IF(OR($P65="MÉDIO",'Configurações'!$B$5-$R65&gt;'Configurações'!$B$4),"ALTA","NORMAL")))))</f>
        <v/>
      </c>
      <c r="R65" s="23" t="n"/>
      <c r="S65" s="25">
        <f>IF(COUNTA($A65:$B65,$E65:$G65,$R65)=0,"",IF($A65="","ID AUSENTE",IF(COUNTIF($A$6:$A$305,$A65)&gt;1,"ID DUPLICADO",IF($B65="","SKU AUSENTE",IF(COUNTIF('Estoque Central'!$A$6:$A$205,$B65)=0,"SKU NÃO CADASTRADO",IF(IFERROR(VLOOKUP($B65,'Estoque Central'!$A$6:$M$205,13,FALSE),"")&lt;&gt;"OK","ESTOQUE CENTRAL COM PENDÊNCIA",IF($E65="","CANAL AUSENTE",IF(COUNTIF('Configurações'!$A$11:$A$20,$E65)=0,"CANAL NÃO CONFIGURADO",IF(IFERROR(VLOOKUP($E65,'Configurações'!$A$11:$F$20,6,FALSE),"")&lt;&gt;"OK","CANAL COM PENDÊNCIA",IF(COUNTIFS($B$6:$B$305,$B65,$E$6:$E$305,$E65)&gt;1,"SKU/CANAL DUPLICADO",IF(IFERROR(OR(NOT(ISNUMBER($F65)),$F65&lt;0,MOD($F65,1)&lt;&gt;0),TRUE),"SALDO PUBLICADO INVÁLIDO",IF(IFERROR(OR(NOT(ISNUMBER($G65)),$G65&lt;0,MOD($G65,1)&lt;&gt;0),TRUE),"PEDIDOS PENDENTES INVÁLIDOS",IF(IFERROR(OR(NOT(ISNUMBER($R65)),$R65&gt;'Configurações'!$B$5),TRUE),"DATA INVÁLIDA","OK")))))))))))))</f>
        <v/>
      </c>
    </row>
    <row r="66">
      <c r="A66" s="21" t="n"/>
      <c r="B66" s="21" t="n"/>
      <c r="C66" s="27">
        <f>IFERROR(VLOOKUP($B66,'Estoque Central'!$A$6:$M$205,2,FALSE),"")</f>
        <v/>
      </c>
      <c r="D66" s="25">
        <f>IFERROR(VLOOKUP($B66,'Estoque Central'!$A$6:$M$205,3,FALSE),"")</f>
        <v/>
      </c>
      <c r="E66" s="21" t="n"/>
      <c r="F66" s="22" t="n"/>
      <c r="G66" s="22" t="n"/>
      <c r="H66" s="25">
        <f>IFERROR(VLOOKUP($E66,'Configurações'!$A$11:$F$20,2,FALSE),"")</f>
        <v/>
      </c>
      <c r="I66" s="28">
        <f>IFERROR(VLOOKUP($E66,'Configurações'!$A$11:$F$20,3,FALSE),"")</f>
        <v/>
      </c>
      <c r="J66" s="24">
        <f>IFERROR(VLOOKUP($E66,'Configurações'!$A$11:$F$20,4,FALSE),"")</f>
        <v/>
      </c>
      <c r="K66" s="24">
        <f>IFERROR(VLOOKUP($E66,'Configurações'!$A$11:$F$20,5,FALSE),"")</f>
        <v/>
      </c>
      <c r="L66" s="24">
        <f>IFERROR(VLOOKUP($B66,'Estoque Central'!$A$6:$M$205,9,FALSE),"")</f>
        <v/>
      </c>
      <c r="M66" s="24">
        <f>IF(COUNTA($A66:$B66,$E66:$G66,$R66)=0,"",IFERROR(IF(OR($C66="",$H66=""),"",IF(OR($D66&lt;&gt;"Ativo",$H66&lt;&gt;"Sim"),0,MIN(IF($J66="",$L66,$J66),ROUNDDOWN($L66*$I66,0)))),""))</f>
        <v/>
      </c>
      <c r="N66" s="24">
        <f>IF(OR($M66="",NOT(ISNUMBER($F66))),"",$M66-$F66)</f>
        <v/>
      </c>
      <c r="O66" s="25">
        <f>IF(COUNTA($A66:$B66,$E66:$G66,$R66)=0,"",IF($S66&lt;&gt;"OK","REVISAR CADASTRO",IF($N66&gt;0,"AUMENTAR",IF($N66&lt;0,"REDUZIR","SEM AÇÃO"))))</f>
        <v/>
      </c>
      <c r="P66" s="25">
        <f>IF(COUNTA($A66:$B66,$E66:$G66,$R66)=0,"",IF($S66&lt;&gt;"OK","REVISAR",IF(OR($D66&lt;&gt;"Ativo",$H66&lt;&gt;"Sim"),IF($F66&gt;0,"ALTO","SEM EXPOSIÇÃO"),IF(OR($F66&gt;$M66,SUMIFS($F$6:$F$305,$B$6:$B$305,$B66,$S$6:$S$305,"OK")&gt;$L66),"ALTO",IF(AND($F66&gt;0,$L66&lt;=$K66),"MÉDIO","BAIXO")))))</f>
        <v/>
      </c>
      <c r="Q66" s="25">
        <f>IF(COUNTA($A66:$B66,$E66:$G66,$R66)=0,"",IF($S66&lt;&gt;"OK","REVISAR",IF($O66="SEM AÇÃO","BAIXA",IF(OR($P66="ALTO",ABS($N66)&gt;='Configurações'!$B$3),"URGENTE",IF(OR($P66="MÉDIO",'Configurações'!$B$5-$R66&gt;'Configurações'!$B$4),"ALTA","NORMAL")))))</f>
        <v/>
      </c>
      <c r="R66" s="23" t="n"/>
      <c r="S66" s="25">
        <f>IF(COUNTA($A66:$B66,$E66:$G66,$R66)=0,"",IF($A66="","ID AUSENTE",IF(COUNTIF($A$6:$A$305,$A66)&gt;1,"ID DUPLICADO",IF($B66="","SKU AUSENTE",IF(COUNTIF('Estoque Central'!$A$6:$A$205,$B66)=0,"SKU NÃO CADASTRADO",IF(IFERROR(VLOOKUP($B66,'Estoque Central'!$A$6:$M$205,13,FALSE),"")&lt;&gt;"OK","ESTOQUE CENTRAL COM PENDÊNCIA",IF($E66="","CANAL AUSENTE",IF(COUNTIF('Configurações'!$A$11:$A$20,$E66)=0,"CANAL NÃO CONFIGURADO",IF(IFERROR(VLOOKUP($E66,'Configurações'!$A$11:$F$20,6,FALSE),"")&lt;&gt;"OK","CANAL COM PENDÊNCIA",IF(COUNTIFS($B$6:$B$305,$B66,$E$6:$E$305,$E66)&gt;1,"SKU/CANAL DUPLICADO",IF(IFERROR(OR(NOT(ISNUMBER($F66)),$F66&lt;0,MOD($F66,1)&lt;&gt;0),TRUE),"SALDO PUBLICADO INVÁLIDO",IF(IFERROR(OR(NOT(ISNUMBER($G66)),$G66&lt;0,MOD($G66,1)&lt;&gt;0),TRUE),"PEDIDOS PENDENTES INVÁLIDOS",IF(IFERROR(OR(NOT(ISNUMBER($R66)),$R66&gt;'Configurações'!$B$5),TRUE),"DATA INVÁLIDA","OK")))))))))))))</f>
        <v/>
      </c>
    </row>
    <row r="67">
      <c r="A67" s="21" t="n"/>
      <c r="B67" s="21" t="n"/>
      <c r="C67" s="27">
        <f>IFERROR(VLOOKUP($B67,'Estoque Central'!$A$6:$M$205,2,FALSE),"")</f>
        <v/>
      </c>
      <c r="D67" s="25">
        <f>IFERROR(VLOOKUP($B67,'Estoque Central'!$A$6:$M$205,3,FALSE),"")</f>
        <v/>
      </c>
      <c r="E67" s="21" t="n"/>
      <c r="F67" s="22" t="n"/>
      <c r="G67" s="22" t="n"/>
      <c r="H67" s="25">
        <f>IFERROR(VLOOKUP($E67,'Configurações'!$A$11:$F$20,2,FALSE),"")</f>
        <v/>
      </c>
      <c r="I67" s="28">
        <f>IFERROR(VLOOKUP($E67,'Configurações'!$A$11:$F$20,3,FALSE),"")</f>
        <v/>
      </c>
      <c r="J67" s="24">
        <f>IFERROR(VLOOKUP($E67,'Configurações'!$A$11:$F$20,4,FALSE),"")</f>
        <v/>
      </c>
      <c r="K67" s="24">
        <f>IFERROR(VLOOKUP($E67,'Configurações'!$A$11:$F$20,5,FALSE),"")</f>
        <v/>
      </c>
      <c r="L67" s="24">
        <f>IFERROR(VLOOKUP($B67,'Estoque Central'!$A$6:$M$205,9,FALSE),"")</f>
        <v/>
      </c>
      <c r="M67" s="24">
        <f>IF(COUNTA($A67:$B67,$E67:$G67,$R67)=0,"",IFERROR(IF(OR($C67="",$H67=""),"",IF(OR($D67&lt;&gt;"Ativo",$H67&lt;&gt;"Sim"),0,MIN(IF($J67="",$L67,$J67),ROUNDDOWN($L67*$I67,0)))),""))</f>
        <v/>
      </c>
      <c r="N67" s="24">
        <f>IF(OR($M67="",NOT(ISNUMBER($F67))),"",$M67-$F67)</f>
        <v/>
      </c>
      <c r="O67" s="25">
        <f>IF(COUNTA($A67:$B67,$E67:$G67,$R67)=0,"",IF($S67&lt;&gt;"OK","REVISAR CADASTRO",IF($N67&gt;0,"AUMENTAR",IF($N67&lt;0,"REDUZIR","SEM AÇÃO"))))</f>
        <v/>
      </c>
      <c r="P67" s="25">
        <f>IF(COUNTA($A67:$B67,$E67:$G67,$R67)=0,"",IF($S67&lt;&gt;"OK","REVISAR",IF(OR($D67&lt;&gt;"Ativo",$H67&lt;&gt;"Sim"),IF($F67&gt;0,"ALTO","SEM EXPOSIÇÃO"),IF(OR($F67&gt;$M67,SUMIFS($F$6:$F$305,$B$6:$B$305,$B67,$S$6:$S$305,"OK")&gt;$L67),"ALTO",IF(AND($F67&gt;0,$L67&lt;=$K67),"MÉDIO","BAIXO")))))</f>
        <v/>
      </c>
      <c r="Q67" s="25">
        <f>IF(COUNTA($A67:$B67,$E67:$G67,$R67)=0,"",IF($S67&lt;&gt;"OK","REVISAR",IF($O67="SEM AÇÃO","BAIXA",IF(OR($P67="ALTO",ABS($N67)&gt;='Configurações'!$B$3),"URGENTE",IF(OR($P67="MÉDIO",'Configurações'!$B$5-$R67&gt;'Configurações'!$B$4),"ALTA","NORMAL")))))</f>
        <v/>
      </c>
      <c r="R67" s="23" t="n"/>
      <c r="S67" s="25">
        <f>IF(COUNTA($A67:$B67,$E67:$G67,$R67)=0,"",IF($A67="","ID AUSENTE",IF(COUNTIF($A$6:$A$305,$A67)&gt;1,"ID DUPLICADO",IF($B67="","SKU AUSENTE",IF(COUNTIF('Estoque Central'!$A$6:$A$205,$B67)=0,"SKU NÃO CADASTRADO",IF(IFERROR(VLOOKUP($B67,'Estoque Central'!$A$6:$M$205,13,FALSE),"")&lt;&gt;"OK","ESTOQUE CENTRAL COM PENDÊNCIA",IF($E67="","CANAL AUSENTE",IF(COUNTIF('Configurações'!$A$11:$A$20,$E67)=0,"CANAL NÃO CONFIGURADO",IF(IFERROR(VLOOKUP($E67,'Configurações'!$A$11:$F$20,6,FALSE),"")&lt;&gt;"OK","CANAL COM PENDÊNCIA",IF(COUNTIFS($B$6:$B$305,$B67,$E$6:$E$305,$E67)&gt;1,"SKU/CANAL DUPLICADO",IF(IFERROR(OR(NOT(ISNUMBER($F67)),$F67&lt;0,MOD($F67,1)&lt;&gt;0),TRUE),"SALDO PUBLICADO INVÁLIDO",IF(IFERROR(OR(NOT(ISNUMBER($G67)),$G67&lt;0,MOD($G67,1)&lt;&gt;0),TRUE),"PEDIDOS PENDENTES INVÁLIDOS",IF(IFERROR(OR(NOT(ISNUMBER($R67)),$R67&gt;'Configurações'!$B$5),TRUE),"DATA INVÁLIDA","OK")))))))))))))</f>
        <v/>
      </c>
    </row>
    <row r="68">
      <c r="A68" s="21" t="n"/>
      <c r="B68" s="21" t="n"/>
      <c r="C68" s="27">
        <f>IFERROR(VLOOKUP($B68,'Estoque Central'!$A$6:$M$205,2,FALSE),"")</f>
        <v/>
      </c>
      <c r="D68" s="25">
        <f>IFERROR(VLOOKUP($B68,'Estoque Central'!$A$6:$M$205,3,FALSE),"")</f>
        <v/>
      </c>
      <c r="E68" s="21" t="n"/>
      <c r="F68" s="22" t="n"/>
      <c r="G68" s="22" t="n"/>
      <c r="H68" s="25">
        <f>IFERROR(VLOOKUP($E68,'Configurações'!$A$11:$F$20,2,FALSE),"")</f>
        <v/>
      </c>
      <c r="I68" s="28">
        <f>IFERROR(VLOOKUP($E68,'Configurações'!$A$11:$F$20,3,FALSE),"")</f>
        <v/>
      </c>
      <c r="J68" s="24">
        <f>IFERROR(VLOOKUP($E68,'Configurações'!$A$11:$F$20,4,FALSE),"")</f>
        <v/>
      </c>
      <c r="K68" s="24">
        <f>IFERROR(VLOOKUP($E68,'Configurações'!$A$11:$F$20,5,FALSE),"")</f>
        <v/>
      </c>
      <c r="L68" s="24">
        <f>IFERROR(VLOOKUP($B68,'Estoque Central'!$A$6:$M$205,9,FALSE),"")</f>
        <v/>
      </c>
      <c r="M68" s="24">
        <f>IF(COUNTA($A68:$B68,$E68:$G68,$R68)=0,"",IFERROR(IF(OR($C68="",$H68=""),"",IF(OR($D68&lt;&gt;"Ativo",$H68&lt;&gt;"Sim"),0,MIN(IF($J68="",$L68,$J68),ROUNDDOWN($L68*$I68,0)))),""))</f>
        <v/>
      </c>
      <c r="N68" s="24">
        <f>IF(OR($M68="",NOT(ISNUMBER($F68))),"",$M68-$F68)</f>
        <v/>
      </c>
      <c r="O68" s="25">
        <f>IF(COUNTA($A68:$B68,$E68:$G68,$R68)=0,"",IF($S68&lt;&gt;"OK","REVISAR CADASTRO",IF($N68&gt;0,"AUMENTAR",IF($N68&lt;0,"REDUZIR","SEM AÇÃO"))))</f>
        <v/>
      </c>
      <c r="P68" s="25">
        <f>IF(COUNTA($A68:$B68,$E68:$G68,$R68)=0,"",IF($S68&lt;&gt;"OK","REVISAR",IF(OR($D68&lt;&gt;"Ativo",$H68&lt;&gt;"Sim"),IF($F68&gt;0,"ALTO","SEM EXPOSIÇÃO"),IF(OR($F68&gt;$M68,SUMIFS($F$6:$F$305,$B$6:$B$305,$B68,$S$6:$S$305,"OK")&gt;$L68),"ALTO",IF(AND($F68&gt;0,$L68&lt;=$K68),"MÉDIO","BAIXO")))))</f>
        <v/>
      </c>
      <c r="Q68" s="25">
        <f>IF(COUNTA($A68:$B68,$E68:$G68,$R68)=0,"",IF($S68&lt;&gt;"OK","REVISAR",IF($O68="SEM AÇÃO","BAIXA",IF(OR($P68="ALTO",ABS($N68)&gt;='Configurações'!$B$3),"URGENTE",IF(OR($P68="MÉDIO",'Configurações'!$B$5-$R68&gt;'Configurações'!$B$4),"ALTA","NORMAL")))))</f>
        <v/>
      </c>
      <c r="R68" s="23" t="n"/>
      <c r="S68" s="25">
        <f>IF(COUNTA($A68:$B68,$E68:$G68,$R68)=0,"",IF($A68="","ID AUSENTE",IF(COUNTIF($A$6:$A$305,$A68)&gt;1,"ID DUPLICADO",IF($B68="","SKU AUSENTE",IF(COUNTIF('Estoque Central'!$A$6:$A$205,$B68)=0,"SKU NÃO CADASTRADO",IF(IFERROR(VLOOKUP($B68,'Estoque Central'!$A$6:$M$205,13,FALSE),"")&lt;&gt;"OK","ESTOQUE CENTRAL COM PENDÊNCIA",IF($E68="","CANAL AUSENTE",IF(COUNTIF('Configurações'!$A$11:$A$20,$E68)=0,"CANAL NÃO CONFIGURADO",IF(IFERROR(VLOOKUP($E68,'Configurações'!$A$11:$F$20,6,FALSE),"")&lt;&gt;"OK","CANAL COM PENDÊNCIA",IF(COUNTIFS($B$6:$B$305,$B68,$E$6:$E$305,$E68)&gt;1,"SKU/CANAL DUPLICADO",IF(IFERROR(OR(NOT(ISNUMBER($F68)),$F68&lt;0,MOD($F68,1)&lt;&gt;0),TRUE),"SALDO PUBLICADO INVÁLIDO",IF(IFERROR(OR(NOT(ISNUMBER($G68)),$G68&lt;0,MOD($G68,1)&lt;&gt;0),TRUE),"PEDIDOS PENDENTES INVÁLIDOS",IF(IFERROR(OR(NOT(ISNUMBER($R68)),$R68&gt;'Configurações'!$B$5),TRUE),"DATA INVÁLIDA","OK")))))))))))))</f>
        <v/>
      </c>
    </row>
    <row r="69">
      <c r="A69" s="21" t="n"/>
      <c r="B69" s="21" t="n"/>
      <c r="C69" s="27">
        <f>IFERROR(VLOOKUP($B69,'Estoque Central'!$A$6:$M$205,2,FALSE),"")</f>
        <v/>
      </c>
      <c r="D69" s="25">
        <f>IFERROR(VLOOKUP($B69,'Estoque Central'!$A$6:$M$205,3,FALSE),"")</f>
        <v/>
      </c>
      <c r="E69" s="21" t="n"/>
      <c r="F69" s="22" t="n"/>
      <c r="G69" s="22" t="n"/>
      <c r="H69" s="25">
        <f>IFERROR(VLOOKUP($E69,'Configurações'!$A$11:$F$20,2,FALSE),"")</f>
        <v/>
      </c>
      <c r="I69" s="28">
        <f>IFERROR(VLOOKUP($E69,'Configurações'!$A$11:$F$20,3,FALSE),"")</f>
        <v/>
      </c>
      <c r="J69" s="24">
        <f>IFERROR(VLOOKUP($E69,'Configurações'!$A$11:$F$20,4,FALSE),"")</f>
        <v/>
      </c>
      <c r="K69" s="24">
        <f>IFERROR(VLOOKUP($E69,'Configurações'!$A$11:$F$20,5,FALSE),"")</f>
        <v/>
      </c>
      <c r="L69" s="24">
        <f>IFERROR(VLOOKUP($B69,'Estoque Central'!$A$6:$M$205,9,FALSE),"")</f>
        <v/>
      </c>
      <c r="M69" s="24">
        <f>IF(COUNTA($A69:$B69,$E69:$G69,$R69)=0,"",IFERROR(IF(OR($C69="",$H69=""),"",IF(OR($D69&lt;&gt;"Ativo",$H69&lt;&gt;"Sim"),0,MIN(IF($J69="",$L69,$J69),ROUNDDOWN($L69*$I69,0)))),""))</f>
        <v/>
      </c>
      <c r="N69" s="24">
        <f>IF(OR($M69="",NOT(ISNUMBER($F69))),"",$M69-$F69)</f>
        <v/>
      </c>
      <c r="O69" s="25">
        <f>IF(COUNTA($A69:$B69,$E69:$G69,$R69)=0,"",IF($S69&lt;&gt;"OK","REVISAR CADASTRO",IF($N69&gt;0,"AUMENTAR",IF($N69&lt;0,"REDUZIR","SEM AÇÃO"))))</f>
        <v/>
      </c>
      <c r="P69" s="25">
        <f>IF(COUNTA($A69:$B69,$E69:$G69,$R69)=0,"",IF($S69&lt;&gt;"OK","REVISAR",IF(OR($D69&lt;&gt;"Ativo",$H69&lt;&gt;"Sim"),IF($F69&gt;0,"ALTO","SEM EXPOSIÇÃO"),IF(OR($F69&gt;$M69,SUMIFS($F$6:$F$305,$B$6:$B$305,$B69,$S$6:$S$305,"OK")&gt;$L69),"ALTO",IF(AND($F69&gt;0,$L69&lt;=$K69),"MÉDIO","BAIXO")))))</f>
        <v/>
      </c>
      <c r="Q69" s="25">
        <f>IF(COUNTA($A69:$B69,$E69:$G69,$R69)=0,"",IF($S69&lt;&gt;"OK","REVISAR",IF($O69="SEM AÇÃO","BAIXA",IF(OR($P69="ALTO",ABS($N69)&gt;='Configurações'!$B$3),"URGENTE",IF(OR($P69="MÉDIO",'Configurações'!$B$5-$R69&gt;'Configurações'!$B$4),"ALTA","NORMAL")))))</f>
        <v/>
      </c>
      <c r="R69" s="23" t="n"/>
      <c r="S69" s="25">
        <f>IF(COUNTA($A69:$B69,$E69:$G69,$R69)=0,"",IF($A69="","ID AUSENTE",IF(COUNTIF($A$6:$A$305,$A69)&gt;1,"ID DUPLICADO",IF($B69="","SKU AUSENTE",IF(COUNTIF('Estoque Central'!$A$6:$A$205,$B69)=0,"SKU NÃO CADASTRADO",IF(IFERROR(VLOOKUP($B69,'Estoque Central'!$A$6:$M$205,13,FALSE),"")&lt;&gt;"OK","ESTOQUE CENTRAL COM PENDÊNCIA",IF($E69="","CANAL AUSENTE",IF(COUNTIF('Configurações'!$A$11:$A$20,$E69)=0,"CANAL NÃO CONFIGURADO",IF(IFERROR(VLOOKUP($E69,'Configurações'!$A$11:$F$20,6,FALSE),"")&lt;&gt;"OK","CANAL COM PENDÊNCIA",IF(COUNTIFS($B$6:$B$305,$B69,$E$6:$E$305,$E69)&gt;1,"SKU/CANAL DUPLICADO",IF(IFERROR(OR(NOT(ISNUMBER($F69)),$F69&lt;0,MOD($F69,1)&lt;&gt;0),TRUE),"SALDO PUBLICADO INVÁLIDO",IF(IFERROR(OR(NOT(ISNUMBER($G69)),$G69&lt;0,MOD($G69,1)&lt;&gt;0),TRUE),"PEDIDOS PENDENTES INVÁLIDOS",IF(IFERROR(OR(NOT(ISNUMBER($R69)),$R69&gt;'Configurações'!$B$5),TRUE),"DATA INVÁLIDA","OK")))))))))))))</f>
        <v/>
      </c>
    </row>
    <row r="70">
      <c r="A70" s="21" t="n"/>
      <c r="B70" s="21" t="n"/>
      <c r="C70" s="27">
        <f>IFERROR(VLOOKUP($B70,'Estoque Central'!$A$6:$M$205,2,FALSE),"")</f>
        <v/>
      </c>
      <c r="D70" s="25">
        <f>IFERROR(VLOOKUP($B70,'Estoque Central'!$A$6:$M$205,3,FALSE),"")</f>
        <v/>
      </c>
      <c r="E70" s="21" t="n"/>
      <c r="F70" s="22" t="n"/>
      <c r="G70" s="22" t="n"/>
      <c r="H70" s="25">
        <f>IFERROR(VLOOKUP($E70,'Configurações'!$A$11:$F$20,2,FALSE),"")</f>
        <v/>
      </c>
      <c r="I70" s="28">
        <f>IFERROR(VLOOKUP($E70,'Configurações'!$A$11:$F$20,3,FALSE),"")</f>
        <v/>
      </c>
      <c r="J70" s="24">
        <f>IFERROR(VLOOKUP($E70,'Configurações'!$A$11:$F$20,4,FALSE),"")</f>
        <v/>
      </c>
      <c r="K70" s="24">
        <f>IFERROR(VLOOKUP($E70,'Configurações'!$A$11:$F$20,5,FALSE),"")</f>
        <v/>
      </c>
      <c r="L70" s="24">
        <f>IFERROR(VLOOKUP($B70,'Estoque Central'!$A$6:$M$205,9,FALSE),"")</f>
        <v/>
      </c>
      <c r="M70" s="24">
        <f>IF(COUNTA($A70:$B70,$E70:$G70,$R70)=0,"",IFERROR(IF(OR($C70="",$H70=""),"",IF(OR($D70&lt;&gt;"Ativo",$H70&lt;&gt;"Sim"),0,MIN(IF($J70="",$L70,$J70),ROUNDDOWN($L70*$I70,0)))),""))</f>
        <v/>
      </c>
      <c r="N70" s="24">
        <f>IF(OR($M70="",NOT(ISNUMBER($F70))),"",$M70-$F70)</f>
        <v/>
      </c>
      <c r="O70" s="25">
        <f>IF(COUNTA($A70:$B70,$E70:$G70,$R70)=0,"",IF($S70&lt;&gt;"OK","REVISAR CADASTRO",IF($N70&gt;0,"AUMENTAR",IF($N70&lt;0,"REDUZIR","SEM AÇÃO"))))</f>
        <v/>
      </c>
      <c r="P70" s="25">
        <f>IF(COUNTA($A70:$B70,$E70:$G70,$R70)=0,"",IF($S70&lt;&gt;"OK","REVISAR",IF(OR($D70&lt;&gt;"Ativo",$H70&lt;&gt;"Sim"),IF($F70&gt;0,"ALTO","SEM EXPOSIÇÃO"),IF(OR($F70&gt;$M70,SUMIFS($F$6:$F$305,$B$6:$B$305,$B70,$S$6:$S$305,"OK")&gt;$L70),"ALTO",IF(AND($F70&gt;0,$L70&lt;=$K70),"MÉDIO","BAIXO")))))</f>
        <v/>
      </c>
      <c r="Q70" s="25">
        <f>IF(COUNTA($A70:$B70,$E70:$G70,$R70)=0,"",IF($S70&lt;&gt;"OK","REVISAR",IF($O70="SEM AÇÃO","BAIXA",IF(OR($P70="ALTO",ABS($N70)&gt;='Configurações'!$B$3),"URGENTE",IF(OR($P70="MÉDIO",'Configurações'!$B$5-$R70&gt;'Configurações'!$B$4),"ALTA","NORMAL")))))</f>
        <v/>
      </c>
      <c r="R70" s="23" t="n"/>
      <c r="S70" s="25">
        <f>IF(COUNTA($A70:$B70,$E70:$G70,$R70)=0,"",IF($A70="","ID AUSENTE",IF(COUNTIF($A$6:$A$305,$A70)&gt;1,"ID DUPLICADO",IF($B70="","SKU AUSENTE",IF(COUNTIF('Estoque Central'!$A$6:$A$205,$B70)=0,"SKU NÃO CADASTRADO",IF(IFERROR(VLOOKUP($B70,'Estoque Central'!$A$6:$M$205,13,FALSE),"")&lt;&gt;"OK","ESTOQUE CENTRAL COM PENDÊNCIA",IF($E70="","CANAL AUSENTE",IF(COUNTIF('Configurações'!$A$11:$A$20,$E70)=0,"CANAL NÃO CONFIGURADO",IF(IFERROR(VLOOKUP($E70,'Configurações'!$A$11:$F$20,6,FALSE),"")&lt;&gt;"OK","CANAL COM PENDÊNCIA",IF(COUNTIFS($B$6:$B$305,$B70,$E$6:$E$305,$E70)&gt;1,"SKU/CANAL DUPLICADO",IF(IFERROR(OR(NOT(ISNUMBER($F70)),$F70&lt;0,MOD($F70,1)&lt;&gt;0),TRUE),"SALDO PUBLICADO INVÁLIDO",IF(IFERROR(OR(NOT(ISNUMBER($G70)),$G70&lt;0,MOD($G70,1)&lt;&gt;0),TRUE),"PEDIDOS PENDENTES INVÁLIDOS",IF(IFERROR(OR(NOT(ISNUMBER($R70)),$R70&gt;'Configurações'!$B$5),TRUE),"DATA INVÁLIDA","OK")))))))))))))</f>
        <v/>
      </c>
    </row>
    <row r="71">
      <c r="A71" s="21" t="n"/>
      <c r="B71" s="21" t="n"/>
      <c r="C71" s="27">
        <f>IFERROR(VLOOKUP($B71,'Estoque Central'!$A$6:$M$205,2,FALSE),"")</f>
        <v/>
      </c>
      <c r="D71" s="25">
        <f>IFERROR(VLOOKUP($B71,'Estoque Central'!$A$6:$M$205,3,FALSE),"")</f>
        <v/>
      </c>
      <c r="E71" s="21" t="n"/>
      <c r="F71" s="22" t="n"/>
      <c r="G71" s="22" t="n"/>
      <c r="H71" s="25">
        <f>IFERROR(VLOOKUP($E71,'Configurações'!$A$11:$F$20,2,FALSE),"")</f>
        <v/>
      </c>
      <c r="I71" s="28">
        <f>IFERROR(VLOOKUP($E71,'Configurações'!$A$11:$F$20,3,FALSE),"")</f>
        <v/>
      </c>
      <c r="J71" s="24">
        <f>IFERROR(VLOOKUP($E71,'Configurações'!$A$11:$F$20,4,FALSE),"")</f>
        <v/>
      </c>
      <c r="K71" s="24">
        <f>IFERROR(VLOOKUP($E71,'Configurações'!$A$11:$F$20,5,FALSE),"")</f>
        <v/>
      </c>
      <c r="L71" s="24">
        <f>IFERROR(VLOOKUP($B71,'Estoque Central'!$A$6:$M$205,9,FALSE),"")</f>
        <v/>
      </c>
      <c r="M71" s="24">
        <f>IF(COUNTA($A71:$B71,$E71:$G71,$R71)=0,"",IFERROR(IF(OR($C71="",$H71=""),"",IF(OR($D71&lt;&gt;"Ativo",$H71&lt;&gt;"Sim"),0,MIN(IF($J71="",$L71,$J71),ROUNDDOWN($L71*$I71,0)))),""))</f>
        <v/>
      </c>
      <c r="N71" s="24">
        <f>IF(OR($M71="",NOT(ISNUMBER($F71))),"",$M71-$F71)</f>
        <v/>
      </c>
      <c r="O71" s="25">
        <f>IF(COUNTA($A71:$B71,$E71:$G71,$R71)=0,"",IF($S71&lt;&gt;"OK","REVISAR CADASTRO",IF($N71&gt;0,"AUMENTAR",IF($N71&lt;0,"REDUZIR","SEM AÇÃO"))))</f>
        <v/>
      </c>
      <c r="P71" s="25">
        <f>IF(COUNTA($A71:$B71,$E71:$G71,$R71)=0,"",IF($S71&lt;&gt;"OK","REVISAR",IF(OR($D71&lt;&gt;"Ativo",$H71&lt;&gt;"Sim"),IF($F71&gt;0,"ALTO","SEM EXPOSIÇÃO"),IF(OR($F71&gt;$M71,SUMIFS($F$6:$F$305,$B$6:$B$305,$B71,$S$6:$S$305,"OK")&gt;$L71),"ALTO",IF(AND($F71&gt;0,$L71&lt;=$K71),"MÉDIO","BAIXO")))))</f>
        <v/>
      </c>
      <c r="Q71" s="25">
        <f>IF(COUNTA($A71:$B71,$E71:$G71,$R71)=0,"",IF($S71&lt;&gt;"OK","REVISAR",IF($O71="SEM AÇÃO","BAIXA",IF(OR($P71="ALTO",ABS($N71)&gt;='Configurações'!$B$3),"URGENTE",IF(OR($P71="MÉDIO",'Configurações'!$B$5-$R71&gt;'Configurações'!$B$4),"ALTA","NORMAL")))))</f>
        <v/>
      </c>
      <c r="R71" s="23" t="n"/>
      <c r="S71" s="25">
        <f>IF(COUNTA($A71:$B71,$E71:$G71,$R71)=0,"",IF($A71="","ID AUSENTE",IF(COUNTIF($A$6:$A$305,$A71)&gt;1,"ID DUPLICADO",IF($B71="","SKU AUSENTE",IF(COUNTIF('Estoque Central'!$A$6:$A$205,$B71)=0,"SKU NÃO CADASTRADO",IF(IFERROR(VLOOKUP($B71,'Estoque Central'!$A$6:$M$205,13,FALSE),"")&lt;&gt;"OK","ESTOQUE CENTRAL COM PENDÊNCIA",IF($E71="","CANAL AUSENTE",IF(COUNTIF('Configurações'!$A$11:$A$20,$E71)=0,"CANAL NÃO CONFIGURADO",IF(IFERROR(VLOOKUP($E71,'Configurações'!$A$11:$F$20,6,FALSE),"")&lt;&gt;"OK","CANAL COM PENDÊNCIA",IF(COUNTIFS($B$6:$B$305,$B71,$E$6:$E$305,$E71)&gt;1,"SKU/CANAL DUPLICADO",IF(IFERROR(OR(NOT(ISNUMBER($F71)),$F71&lt;0,MOD($F71,1)&lt;&gt;0),TRUE),"SALDO PUBLICADO INVÁLIDO",IF(IFERROR(OR(NOT(ISNUMBER($G71)),$G71&lt;0,MOD($G71,1)&lt;&gt;0),TRUE),"PEDIDOS PENDENTES INVÁLIDOS",IF(IFERROR(OR(NOT(ISNUMBER($R71)),$R71&gt;'Configurações'!$B$5),TRUE),"DATA INVÁLIDA","OK")))))))))))))</f>
        <v/>
      </c>
    </row>
    <row r="72">
      <c r="A72" s="21" t="n"/>
      <c r="B72" s="21" t="n"/>
      <c r="C72" s="27">
        <f>IFERROR(VLOOKUP($B72,'Estoque Central'!$A$6:$M$205,2,FALSE),"")</f>
        <v/>
      </c>
      <c r="D72" s="25">
        <f>IFERROR(VLOOKUP($B72,'Estoque Central'!$A$6:$M$205,3,FALSE),"")</f>
        <v/>
      </c>
      <c r="E72" s="21" t="n"/>
      <c r="F72" s="22" t="n"/>
      <c r="G72" s="22" t="n"/>
      <c r="H72" s="25">
        <f>IFERROR(VLOOKUP($E72,'Configurações'!$A$11:$F$20,2,FALSE),"")</f>
        <v/>
      </c>
      <c r="I72" s="28">
        <f>IFERROR(VLOOKUP($E72,'Configurações'!$A$11:$F$20,3,FALSE),"")</f>
        <v/>
      </c>
      <c r="J72" s="24">
        <f>IFERROR(VLOOKUP($E72,'Configurações'!$A$11:$F$20,4,FALSE),"")</f>
        <v/>
      </c>
      <c r="K72" s="24">
        <f>IFERROR(VLOOKUP($E72,'Configurações'!$A$11:$F$20,5,FALSE),"")</f>
        <v/>
      </c>
      <c r="L72" s="24">
        <f>IFERROR(VLOOKUP($B72,'Estoque Central'!$A$6:$M$205,9,FALSE),"")</f>
        <v/>
      </c>
      <c r="M72" s="24">
        <f>IF(COUNTA($A72:$B72,$E72:$G72,$R72)=0,"",IFERROR(IF(OR($C72="",$H72=""),"",IF(OR($D72&lt;&gt;"Ativo",$H72&lt;&gt;"Sim"),0,MIN(IF($J72="",$L72,$J72),ROUNDDOWN($L72*$I72,0)))),""))</f>
        <v/>
      </c>
      <c r="N72" s="24">
        <f>IF(OR($M72="",NOT(ISNUMBER($F72))),"",$M72-$F72)</f>
        <v/>
      </c>
      <c r="O72" s="25">
        <f>IF(COUNTA($A72:$B72,$E72:$G72,$R72)=0,"",IF($S72&lt;&gt;"OK","REVISAR CADASTRO",IF($N72&gt;0,"AUMENTAR",IF($N72&lt;0,"REDUZIR","SEM AÇÃO"))))</f>
        <v/>
      </c>
      <c r="P72" s="25">
        <f>IF(COUNTA($A72:$B72,$E72:$G72,$R72)=0,"",IF($S72&lt;&gt;"OK","REVISAR",IF(OR($D72&lt;&gt;"Ativo",$H72&lt;&gt;"Sim"),IF($F72&gt;0,"ALTO","SEM EXPOSIÇÃO"),IF(OR($F72&gt;$M72,SUMIFS($F$6:$F$305,$B$6:$B$305,$B72,$S$6:$S$305,"OK")&gt;$L72),"ALTO",IF(AND($F72&gt;0,$L72&lt;=$K72),"MÉDIO","BAIXO")))))</f>
        <v/>
      </c>
      <c r="Q72" s="25">
        <f>IF(COUNTA($A72:$B72,$E72:$G72,$R72)=0,"",IF($S72&lt;&gt;"OK","REVISAR",IF($O72="SEM AÇÃO","BAIXA",IF(OR($P72="ALTO",ABS($N72)&gt;='Configurações'!$B$3),"URGENTE",IF(OR($P72="MÉDIO",'Configurações'!$B$5-$R72&gt;'Configurações'!$B$4),"ALTA","NORMAL")))))</f>
        <v/>
      </c>
      <c r="R72" s="23" t="n"/>
      <c r="S72" s="25">
        <f>IF(COUNTA($A72:$B72,$E72:$G72,$R72)=0,"",IF($A72="","ID AUSENTE",IF(COUNTIF($A$6:$A$305,$A72)&gt;1,"ID DUPLICADO",IF($B72="","SKU AUSENTE",IF(COUNTIF('Estoque Central'!$A$6:$A$205,$B72)=0,"SKU NÃO CADASTRADO",IF(IFERROR(VLOOKUP($B72,'Estoque Central'!$A$6:$M$205,13,FALSE),"")&lt;&gt;"OK","ESTOQUE CENTRAL COM PENDÊNCIA",IF($E72="","CANAL AUSENTE",IF(COUNTIF('Configurações'!$A$11:$A$20,$E72)=0,"CANAL NÃO CONFIGURADO",IF(IFERROR(VLOOKUP($E72,'Configurações'!$A$11:$F$20,6,FALSE),"")&lt;&gt;"OK","CANAL COM PENDÊNCIA",IF(COUNTIFS($B$6:$B$305,$B72,$E$6:$E$305,$E72)&gt;1,"SKU/CANAL DUPLICADO",IF(IFERROR(OR(NOT(ISNUMBER($F72)),$F72&lt;0,MOD($F72,1)&lt;&gt;0),TRUE),"SALDO PUBLICADO INVÁLIDO",IF(IFERROR(OR(NOT(ISNUMBER($G72)),$G72&lt;0,MOD($G72,1)&lt;&gt;0),TRUE),"PEDIDOS PENDENTES INVÁLIDOS",IF(IFERROR(OR(NOT(ISNUMBER($R72)),$R72&gt;'Configurações'!$B$5),TRUE),"DATA INVÁLIDA","OK")))))))))))))</f>
        <v/>
      </c>
    </row>
    <row r="73">
      <c r="A73" s="21" t="n"/>
      <c r="B73" s="21" t="n"/>
      <c r="C73" s="27">
        <f>IFERROR(VLOOKUP($B73,'Estoque Central'!$A$6:$M$205,2,FALSE),"")</f>
        <v/>
      </c>
      <c r="D73" s="25">
        <f>IFERROR(VLOOKUP($B73,'Estoque Central'!$A$6:$M$205,3,FALSE),"")</f>
        <v/>
      </c>
      <c r="E73" s="21" t="n"/>
      <c r="F73" s="22" t="n"/>
      <c r="G73" s="22" t="n"/>
      <c r="H73" s="25">
        <f>IFERROR(VLOOKUP($E73,'Configurações'!$A$11:$F$20,2,FALSE),"")</f>
        <v/>
      </c>
      <c r="I73" s="28">
        <f>IFERROR(VLOOKUP($E73,'Configurações'!$A$11:$F$20,3,FALSE),"")</f>
        <v/>
      </c>
      <c r="J73" s="24">
        <f>IFERROR(VLOOKUP($E73,'Configurações'!$A$11:$F$20,4,FALSE),"")</f>
        <v/>
      </c>
      <c r="K73" s="24">
        <f>IFERROR(VLOOKUP($E73,'Configurações'!$A$11:$F$20,5,FALSE),"")</f>
        <v/>
      </c>
      <c r="L73" s="24">
        <f>IFERROR(VLOOKUP($B73,'Estoque Central'!$A$6:$M$205,9,FALSE),"")</f>
        <v/>
      </c>
      <c r="M73" s="24">
        <f>IF(COUNTA($A73:$B73,$E73:$G73,$R73)=0,"",IFERROR(IF(OR($C73="",$H73=""),"",IF(OR($D73&lt;&gt;"Ativo",$H73&lt;&gt;"Sim"),0,MIN(IF($J73="",$L73,$J73),ROUNDDOWN($L73*$I73,0)))),""))</f>
        <v/>
      </c>
      <c r="N73" s="24">
        <f>IF(OR($M73="",NOT(ISNUMBER($F73))),"",$M73-$F73)</f>
        <v/>
      </c>
      <c r="O73" s="25">
        <f>IF(COUNTA($A73:$B73,$E73:$G73,$R73)=0,"",IF($S73&lt;&gt;"OK","REVISAR CADASTRO",IF($N73&gt;0,"AUMENTAR",IF($N73&lt;0,"REDUZIR","SEM AÇÃO"))))</f>
        <v/>
      </c>
      <c r="P73" s="25">
        <f>IF(COUNTA($A73:$B73,$E73:$G73,$R73)=0,"",IF($S73&lt;&gt;"OK","REVISAR",IF(OR($D73&lt;&gt;"Ativo",$H73&lt;&gt;"Sim"),IF($F73&gt;0,"ALTO","SEM EXPOSIÇÃO"),IF(OR($F73&gt;$M73,SUMIFS($F$6:$F$305,$B$6:$B$305,$B73,$S$6:$S$305,"OK")&gt;$L73),"ALTO",IF(AND($F73&gt;0,$L73&lt;=$K73),"MÉDIO","BAIXO")))))</f>
        <v/>
      </c>
      <c r="Q73" s="25">
        <f>IF(COUNTA($A73:$B73,$E73:$G73,$R73)=0,"",IF($S73&lt;&gt;"OK","REVISAR",IF($O73="SEM AÇÃO","BAIXA",IF(OR($P73="ALTO",ABS($N73)&gt;='Configurações'!$B$3),"URGENTE",IF(OR($P73="MÉDIO",'Configurações'!$B$5-$R73&gt;'Configurações'!$B$4),"ALTA","NORMAL")))))</f>
        <v/>
      </c>
      <c r="R73" s="23" t="n"/>
      <c r="S73" s="25">
        <f>IF(COUNTA($A73:$B73,$E73:$G73,$R73)=0,"",IF($A73="","ID AUSENTE",IF(COUNTIF($A$6:$A$305,$A73)&gt;1,"ID DUPLICADO",IF($B73="","SKU AUSENTE",IF(COUNTIF('Estoque Central'!$A$6:$A$205,$B73)=0,"SKU NÃO CADASTRADO",IF(IFERROR(VLOOKUP($B73,'Estoque Central'!$A$6:$M$205,13,FALSE),"")&lt;&gt;"OK","ESTOQUE CENTRAL COM PENDÊNCIA",IF($E73="","CANAL AUSENTE",IF(COUNTIF('Configurações'!$A$11:$A$20,$E73)=0,"CANAL NÃO CONFIGURADO",IF(IFERROR(VLOOKUP($E73,'Configurações'!$A$11:$F$20,6,FALSE),"")&lt;&gt;"OK","CANAL COM PENDÊNCIA",IF(COUNTIFS($B$6:$B$305,$B73,$E$6:$E$305,$E73)&gt;1,"SKU/CANAL DUPLICADO",IF(IFERROR(OR(NOT(ISNUMBER($F73)),$F73&lt;0,MOD($F73,1)&lt;&gt;0),TRUE),"SALDO PUBLICADO INVÁLIDO",IF(IFERROR(OR(NOT(ISNUMBER($G73)),$G73&lt;0,MOD($G73,1)&lt;&gt;0),TRUE),"PEDIDOS PENDENTES INVÁLIDOS",IF(IFERROR(OR(NOT(ISNUMBER($R73)),$R73&gt;'Configurações'!$B$5),TRUE),"DATA INVÁLIDA","OK")))))))))))))</f>
        <v/>
      </c>
    </row>
    <row r="74">
      <c r="A74" s="21" t="n"/>
      <c r="B74" s="21" t="n"/>
      <c r="C74" s="27">
        <f>IFERROR(VLOOKUP($B74,'Estoque Central'!$A$6:$M$205,2,FALSE),"")</f>
        <v/>
      </c>
      <c r="D74" s="25">
        <f>IFERROR(VLOOKUP($B74,'Estoque Central'!$A$6:$M$205,3,FALSE),"")</f>
        <v/>
      </c>
      <c r="E74" s="21" t="n"/>
      <c r="F74" s="22" t="n"/>
      <c r="G74" s="22" t="n"/>
      <c r="H74" s="25">
        <f>IFERROR(VLOOKUP($E74,'Configurações'!$A$11:$F$20,2,FALSE),"")</f>
        <v/>
      </c>
      <c r="I74" s="28">
        <f>IFERROR(VLOOKUP($E74,'Configurações'!$A$11:$F$20,3,FALSE),"")</f>
        <v/>
      </c>
      <c r="J74" s="24">
        <f>IFERROR(VLOOKUP($E74,'Configurações'!$A$11:$F$20,4,FALSE),"")</f>
        <v/>
      </c>
      <c r="K74" s="24">
        <f>IFERROR(VLOOKUP($E74,'Configurações'!$A$11:$F$20,5,FALSE),"")</f>
        <v/>
      </c>
      <c r="L74" s="24">
        <f>IFERROR(VLOOKUP($B74,'Estoque Central'!$A$6:$M$205,9,FALSE),"")</f>
        <v/>
      </c>
      <c r="M74" s="24">
        <f>IF(COUNTA($A74:$B74,$E74:$G74,$R74)=0,"",IFERROR(IF(OR($C74="",$H74=""),"",IF(OR($D74&lt;&gt;"Ativo",$H74&lt;&gt;"Sim"),0,MIN(IF($J74="",$L74,$J74),ROUNDDOWN($L74*$I74,0)))),""))</f>
        <v/>
      </c>
      <c r="N74" s="24">
        <f>IF(OR($M74="",NOT(ISNUMBER($F74))),"",$M74-$F74)</f>
        <v/>
      </c>
      <c r="O74" s="25">
        <f>IF(COUNTA($A74:$B74,$E74:$G74,$R74)=0,"",IF($S74&lt;&gt;"OK","REVISAR CADASTRO",IF($N74&gt;0,"AUMENTAR",IF($N74&lt;0,"REDUZIR","SEM AÇÃO"))))</f>
        <v/>
      </c>
      <c r="P74" s="25">
        <f>IF(COUNTA($A74:$B74,$E74:$G74,$R74)=0,"",IF($S74&lt;&gt;"OK","REVISAR",IF(OR($D74&lt;&gt;"Ativo",$H74&lt;&gt;"Sim"),IF($F74&gt;0,"ALTO","SEM EXPOSIÇÃO"),IF(OR($F74&gt;$M74,SUMIFS($F$6:$F$305,$B$6:$B$305,$B74,$S$6:$S$305,"OK")&gt;$L74),"ALTO",IF(AND($F74&gt;0,$L74&lt;=$K74),"MÉDIO","BAIXO")))))</f>
        <v/>
      </c>
      <c r="Q74" s="25">
        <f>IF(COUNTA($A74:$B74,$E74:$G74,$R74)=0,"",IF($S74&lt;&gt;"OK","REVISAR",IF($O74="SEM AÇÃO","BAIXA",IF(OR($P74="ALTO",ABS($N74)&gt;='Configurações'!$B$3),"URGENTE",IF(OR($P74="MÉDIO",'Configurações'!$B$5-$R74&gt;'Configurações'!$B$4),"ALTA","NORMAL")))))</f>
        <v/>
      </c>
      <c r="R74" s="23" t="n"/>
      <c r="S74" s="25">
        <f>IF(COUNTA($A74:$B74,$E74:$G74,$R74)=0,"",IF($A74="","ID AUSENTE",IF(COUNTIF($A$6:$A$305,$A74)&gt;1,"ID DUPLICADO",IF($B74="","SKU AUSENTE",IF(COUNTIF('Estoque Central'!$A$6:$A$205,$B74)=0,"SKU NÃO CADASTRADO",IF(IFERROR(VLOOKUP($B74,'Estoque Central'!$A$6:$M$205,13,FALSE),"")&lt;&gt;"OK","ESTOQUE CENTRAL COM PENDÊNCIA",IF($E74="","CANAL AUSENTE",IF(COUNTIF('Configurações'!$A$11:$A$20,$E74)=0,"CANAL NÃO CONFIGURADO",IF(IFERROR(VLOOKUP($E74,'Configurações'!$A$11:$F$20,6,FALSE),"")&lt;&gt;"OK","CANAL COM PENDÊNCIA",IF(COUNTIFS($B$6:$B$305,$B74,$E$6:$E$305,$E74)&gt;1,"SKU/CANAL DUPLICADO",IF(IFERROR(OR(NOT(ISNUMBER($F74)),$F74&lt;0,MOD($F74,1)&lt;&gt;0),TRUE),"SALDO PUBLICADO INVÁLIDO",IF(IFERROR(OR(NOT(ISNUMBER($G74)),$G74&lt;0,MOD($G74,1)&lt;&gt;0),TRUE),"PEDIDOS PENDENTES INVÁLIDOS",IF(IFERROR(OR(NOT(ISNUMBER($R74)),$R74&gt;'Configurações'!$B$5),TRUE),"DATA INVÁLIDA","OK")))))))))))))</f>
        <v/>
      </c>
    </row>
    <row r="75">
      <c r="A75" s="21" t="n"/>
      <c r="B75" s="21" t="n"/>
      <c r="C75" s="27">
        <f>IFERROR(VLOOKUP($B75,'Estoque Central'!$A$6:$M$205,2,FALSE),"")</f>
        <v/>
      </c>
      <c r="D75" s="25">
        <f>IFERROR(VLOOKUP($B75,'Estoque Central'!$A$6:$M$205,3,FALSE),"")</f>
        <v/>
      </c>
      <c r="E75" s="21" t="n"/>
      <c r="F75" s="22" t="n"/>
      <c r="G75" s="22" t="n"/>
      <c r="H75" s="25">
        <f>IFERROR(VLOOKUP($E75,'Configurações'!$A$11:$F$20,2,FALSE),"")</f>
        <v/>
      </c>
      <c r="I75" s="28">
        <f>IFERROR(VLOOKUP($E75,'Configurações'!$A$11:$F$20,3,FALSE),"")</f>
        <v/>
      </c>
      <c r="J75" s="24">
        <f>IFERROR(VLOOKUP($E75,'Configurações'!$A$11:$F$20,4,FALSE),"")</f>
        <v/>
      </c>
      <c r="K75" s="24">
        <f>IFERROR(VLOOKUP($E75,'Configurações'!$A$11:$F$20,5,FALSE),"")</f>
        <v/>
      </c>
      <c r="L75" s="24">
        <f>IFERROR(VLOOKUP($B75,'Estoque Central'!$A$6:$M$205,9,FALSE),"")</f>
        <v/>
      </c>
      <c r="M75" s="24">
        <f>IF(COUNTA($A75:$B75,$E75:$G75,$R75)=0,"",IFERROR(IF(OR($C75="",$H75=""),"",IF(OR($D75&lt;&gt;"Ativo",$H75&lt;&gt;"Sim"),0,MIN(IF($J75="",$L75,$J75),ROUNDDOWN($L75*$I75,0)))),""))</f>
        <v/>
      </c>
      <c r="N75" s="24">
        <f>IF(OR($M75="",NOT(ISNUMBER($F75))),"",$M75-$F75)</f>
        <v/>
      </c>
      <c r="O75" s="25">
        <f>IF(COUNTA($A75:$B75,$E75:$G75,$R75)=0,"",IF($S75&lt;&gt;"OK","REVISAR CADASTRO",IF($N75&gt;0,"AUMENTAR",IF($N75&lt;0,"REDUZIR","SEM AÇÃO"))))</f>
        <v/>
      </c>
      <c r="P75" s="25">
        <f>IF(COUNTA($A75:$B75,$E75:$G75,$R75)=0,"",IF($S75&lt;&gt;"OK","REVISAR",IF(OR($D75&lt;&gt;"Ativo",$H75&lt;&gt;"Sim"),IF($F75&gt;0,"ALTO","SEM EXPOSIÇÃO"),IF(OR($F75&gt;$M75,SUMIFS($F$6:$F$305,$B$6:$B$305,$B75,$S$6:$S$305,"OK")&gt;$L75),"ALTO",IF(AND($F75&gt;0,$L75&lt;=$K75),"MÉDIO","BAIXO")))))</f>
        <v/>
      </c>
      <c r="Q75" s="25">
        <f>IF(COUNTA($A75:$B75,$E75:$G75,$R75)=0,"",IF($S75&lt;&gt;"OK","REVISAR",IF($O75="SEM AÇÃO","BAIXA",IF(OR($P75="ALTO",ABS($N75)&gt;='Configurações'!$B$3),"URGENTE",IF(OR($P75="MÉDIO",'Configurações'!$B$5-$R75&gt;'Configurações'!$B$4),"ALTA","NORMAL")))))</f>
        <v/>
      </c>
      <c r="R75" s="23" t="n"/>
      <c r="S75" s="25">
        <f>IF(COUNTA($A75:$B75,$E75:$G75,$R75)=0,"",IF($A75="","ID AUSENTE",IF(COUNTIF($A$6:$A$305,$A75)&gt;1,"ID DUPLICADO",IF($B75="","SKU AUSENTE",IF(COUNTIF('Estoque Central'!$A$6:$A$205,$B75)=0,"SKU NÃO CADASTRADO",IF(IFERROR(VLOOKUP($B75,'Estoque Central'!$A$6:$M$205,13,FALSE),"")&lt;&gt;"OK","ESTOQUE CENTRAL COM PENDÊNCIA",IF($E75="","CANAL AUSENTE",IF(COUNTIF('Configurações'!$A$11:$A$20,$E75)=0,"CANAL NÃO CONFIGURADO",IF(IFERROR(VLOOKUP($E75,'Configurações'!$A$11:$F$20,6,FALSE),"")&lt;&gt;"OK","CANAL COM PENDÊNCIA",IF(COUNTIFS($B$6:$B$305,$B75,$E$6:$E$305,$E75)&gt;1,"SKU/CANAL DUPLICADO",IF(IFERROR(OR(NOT(ISNUMBER($F75)),$F75&lt;0,MOD($F75,1)&lt;&gt;0),TRUE),"SALDO PUBLICADO INVÁLIDO",IF(IFERROR(OR(NOT(ISNUMBER($G75)),$G75&lt;0,MOD($G75,1)&lt;&gt;0),TRUE),"PEDIDOS PENDENTES INVÁLIDOS",IF(IFERROR(OR(NOT(ISNUMBER($R75)),$R75&gt;'Configurações'!$B$5),TRUE),"DATA INVÁLIDA","OK")))))))))))))</f>
        <v/>
      </c>
    </row>
    <row r="76">
      <c r="A76" s="21" t="n"/>
      <c r="B76" s="21" t="n"/>
      <c r="C76" s="27">
        <f>IFERROR(VLOOKUP($B76,'Estoque Central'!$A$6:$M$205,2,FALSE),"")</f>
        <v/>
      </c>
      <c r="D76" s="25">
        <f>IFERROR(VLOOKUP($B76,'Estoque Central'!$A$6:$M$205,3,FALSE),"")</f>
        <v/>
      </c>
      <c r="E76" s="21" t="n"/>
      <c r="F76" s="22" t="n"/>
      <c r="G76" s="22" t="n"/>
      <c r="H76" s="25">
        <f>IFERROR(VLOOKUP($E76,'Configurações'!$A$11:$F$20,2,FALSE),"")</f>
        <v/>
      </c>
      <c r="I76" s="28">
        <f>IFERROR(VLOOKUP($E76,'Configurações'!$A$11:$F$20,3,FALSE),"")</f>
        <v/>
      </c>
      <c r="J76" s="24">
        <f>IFERROR(VLOOKUP($E76,'Configurações'!$A$11:$F$20,4,FALSE),"")</f>
        <v/>
      </c>
      <c r="K76" s="24">
        <f>IFERROR(VLOOKUP($E76,'Configurações'!$A$11:$F$20,5,FALSE),"")</f>
        <v/>
      </c>
      <c r="L76" s="24">
        <f>IFERROR(VLOOKUP($B76,'Estoque Central'!$A$6:$M$205,9,FALSE),"")</f>
        <v/>
      </c>
      <c r="M76" s="24">
        <f>IF(COUNTA($A76:$B76,$E76:$G76,$R76)=0,"",IFERROR(IF(OR($C76="",$H76=""),"",IF(OR($D76&lt;&gt;"Ativo",$H76&lt;&gt;"Sim"),0,MIN(IF($J76="",$L76,$J76),ROUNDDOWN($L76*$I76,0)))),""))</f>
        <v/>
      </c>
      <c r="N76" s="24">
        <f>IF(OR($M76="",NOT(ISNUMBER($F76))),"",$M76-$F76)</f>
        <v/>
      </c>
      <c r="O76" s="25">
        <f>IF(COUNTA($A76:$B76,$E76:$G76,$R76)=0,"",IF($S76&lt;&gt;"OK","REVISAR CADASTRO",IF($N76&gt;0,"AUMENTAR",IF($N76&lt;0,"REDUZIR","SEM AÇÃO"))))</f>
        <v/>
      </c>
      <c r="P76" s="25">
        <f>IF(COUNTA($A76:$B76,$E76:$G76,$R76)=0,"",IF($S76&lt;&gt;"OK","REVISAR",IF(OR($D76&lt;&gt;"Ativo",$H76&lt;&gt;"Sim"),IF($F76&gt;0,"ALTO","SEM EXPOSIÇÃO"),IF(OR($F76&gt;$M76,SUMIFS($F$6:$F$305,$B$6:$B$305,$B76,$S$6:$S$305,"OK")&gt;$L76),"ALTO",IF(AND($F76&gt;0,$L76&lt;=$K76),"MÉDIO","BAIXO")))))</f>
        <v/>
      </c>
      <c r="Q76" s="25">
        <f>IF(COUNTA($A76:$B76,$E76:$G76,$R76)=0,"",IF($S76&lt;&gt;"OK","REVISAR",IF($O76="SEM AÇÃO","BAIXA",IF(OR($P76="ALTO",ABS($N76)&gt;='Configurações'!$B$3),"URGENTE",IF(OR($P76="MÉDIO",'Configurações'!$B$5-$R76&gt;'Configurações'!$B$4),"ALTA","NORMAL")))))</f>
        <v/>
      </c>
      <c r="R76" s="23" t="n"/>
      <c r="S76" s="25">
        <f>IF(COUNTA($A76:$B76,$E76:$G76,$R76)=0,"",IF($A76="","ID AUSENTE",IF(COUNTIF($A$6:$A$305,$A76)&gt;1,"ID DUPLICADO",IF($B76="","SKU AUSENTE",IF(COUNTIF('Estoque Central'!$A$6:$A$205,$B76)=0,"SKU NÃO CADASTRADO",IF(IFERROR(VLOOKUP($B76,'Estoque Central'!$A$6:$M$205,13,FALSE),"")&lt;&gt;"OK","ESTOQUE CENTRAL COM PENDÊNCIA",IF($E76="","CANAL AUSENTE",IF(COUNTIF('Configurações'!$A$11:$A$20,$E76)=0,"CANAL NÃO CONFIGURADO",IF(IFERROR(VLOOKUP($E76,'Configurações'!$A$11:$F$20,6,FALSE),"")&lt;&gt;"OK","CANAL COM PENDÊNCIA",IF(COUNTIFS($B$6:$B$305,$B76,$E$6:$E$305,$E76)&gt;1,"SKU/CANAL DUPLICADO",IF(IFERROR(OR(NOT(ISNUMBER($F76)),$F76&lt;0,MOD($F76,1)&lt;&gt;0),TRUE),"SALDO PUBLICADO INVÁLIDO",IF(IFERROR(OR(NOT(ISNUMBER($G76)),$G76&lt;0,MOD($G76,1)&lt;&gt;0),TRUE),"PEDIDOS PENDENTES INVÁLIDOS",IF(IFERROR(OR(NOT(ISNUMBER($R76)),$R76&gt;'Configurações'!$B$5),TRUE),"DATA INVÁLIDA","OK")))))))))))))</f>
        <v/>
      </c>
    </row>
    <row r="77">
      <c r="A77" s="21" t="n"/>
      <c r="B77" s="21" t="n"/>
      <c r="C77" s="27">
        <f>IFERROR(VLOOKUP($B77,'Estoque Central'!$A$6:$M$205,2,FALSE),"")</f>
        <v/>
      </c>
      <c r="D77" s="25">
        <f>IFERROR(VLOOKUP($B77,'Estoque Central'!$A$6:$M$205,3,FALSE),"")</f>
        <v/>
      </c>
      <c r="E77" s="21" t="n"/>
      <c r="F77" s="22" t="n"/>
      <c r="G77" s="22" t="n"/>
      <c r="H77" s="25">
        <f>IFERROR(VLOOKUP($E77,'Configurações'!$A$11:$F$20,2,FALSE),"")</f>
        <v/>
      </c>
      <c r="I77" s="28">
        <f>IFERROR(VLOOKUP($E77,'Configurações'!$A$11:$F$20,3,FALSE),"")</f>
        <v/>
      </c>
      <c r="J77" s="24">
        <f>IFERROR(VLOOKUP($E77,'Configurações'!$A$11:$F$20,4,FALSE),"")</f>
        <v/>
      </c>
      <c r="K77" s="24">
        <f>IFERROR(VLOOKUP($E77,'Configurações'!$A$11:$F$20,5,FALSE),"")</f>
        <v/>
      </c>
      <c r="L77" s="24">
        <f>IFERROR(VLOOKUP($B77,'Estoque Central'!$A$6:$M$205,9,FALSE),"")</f>
        <v/>
      </c>
      <c r="M77" s="24">
        <f>IF(COUNTA($A77:$B77,$E77:$G77,$R77)=0,"",IFERROR(IF(OR($C77="",$H77=""),"",IF(OR($D77&lt;&gt;"Ativo",$H77&lt;&gt;"Sim"),0,MIN(IF($J77="",$L77,$J77),ROUNDDOWN($L77*$I77,0)))),""))</f>
        <v/>
      </c>
      <c r="N77" s="24">
        <f>IF(OR($M77="",NOT(ISNUMBER($F77))),"",$M77-$F77)</f>
        <v/>
      </c>
      <c r="O77" s="25">
        <f>IF(COUNTA($A77:$B77,$E77:$G77,$R77)=0,"",IF($S77&lt;&gt;"OK","REVISAR CADASTRO",IF($N77&gt;0,"AUMENTAR",IF($N77&lt;0,"REDUZIR","SEM AÇÃO"))))</f>
        <v/>
      </c>
      <c r="P77" s="25">
        <f>IF(COUNTA($A77:$B77,$E77:$G77,$R77)=0,"",IF($S77&lt;&gt;"OK","REVISAR",IF(OR($D77&lt;&gt;"Ativo",$H77&lt;&gt;"Sim"),IF($F77&gt;0,"ALTO","SEM EXPOSIÇÃO"),IF(OR($F77&gt;$M77,SUMIFS($F$6:$F$305,$B$6:$B$305,$B77,$S$6:$S$305,"OK")&gt;$L77),"ALTO",IF(AND($F77&gt;0,$L77&lt;=$K77),"MÉDIO","BAIXO")))))</f>
        <v/>
      </c>
      <c r="Q77" s="25">
        <f>IF(COUNTA($A77:$B77,$E77:$G77,$R77)=0,"",IF($S77&lt;&gt;"OK","REVISAR",IF($O77="SEM AÇÃO","BAIXA",IF(OR($P77="ALTO",ABS($N77)&gt;='Configurações'!$B$3),"URGENTE",IF(OR($P77="MÉDIO",'Configurações'!$B$5-$R77&gt;'Configurações'!$B$4),"ALTA","NORMAL")))))</f>
        <v/>
      </c>
      <c r="R77" s="23" t="n"/>
      <c r="S77" s="25">
        <f>IF(COUNTA($A77:$B77,$E77:$G77,$R77)=0,"",IF($A77="","ID AUSENTE",IF(COUNTIF($A$6:$A$305,$A77)&gt;1,"ID DUPLICADO",IF($B77="","SKU AUSENTE",IF(COUNTIF('Estoque Central'!$A$6:$A$205,$B77)=0,"SKU NÃO CADASTRADO",IF(IFERROR(VLOOKUP($B77,'Estoque Central'!$A$6:$M$205,13,FALSE),"")&lt;&gt;"OK","ESTOQUE CENTRAL COM PENDÊNCIA",IF($E77="","CANAL AUSENTE",IF(COUNTIF('Configurações'!$A$11:$A$20,$E77)=0,"CANAL NÃO CONFIGURADO",IF(IFERROR(VLOOKUP($E77,'Configurações'!$A$11:$F$20,6,FALSE),"")&lt;&gt;"OK","CANAL COM PENDÊNCIA",IF(COUNTIFS($B$6:$B$305,$B77,$E$6:$E$305,$E77)&gt;1,"SKU/CANAL DUPLICADO",IF(IFERROR(OR(NOT(ISNUMBER($F77)),$F77&lt;0,MOD($F77,1)&lt;&gt;0),TRUE),"SALDO PUBLICADO INVÁLIDO",IF(IFERROR(OR(NOT(ISNUMBER($G77)),$G77&lt;0,MOD($G77,1)&lt;&gt;0),TRUE),"PEDIDOS PENDENTES INVÁLIDOS",IF(IFERROR(OR(NOT(ISNUMBER($R77)),$R77&gt;'Configurações'!$B$5),TRUE),"DATA INVÁLIDA","OK")))))))))))))</f>
        <v/>
      </c>
    </row>
    <row r="78">
      <c r="A78" s="21" t="n"/>
      <c r="B78" s="21" t="n"/>
      <c r="C78" s="27">
        <f>IFERROR(VLOOKUP($B78,'Estoque Central'!$A$6:$M$205,2,FALSE),"")</f>
        <v/>
      </c>
      <c r="D78" s="25">
        <f>IFERROR(VLOOKUP($B78,'Estoque Central'!$A$6:$M$205,3,FALSE),"")</f>
        <v/>
      </c>
      <c r="E78" s="21" t="n"/>
      <c r="F78" s="22" t="n"/>
      <c r="G78" s="22" t="n"/>
      <c r="H78" s="25">
        <f>IFERROR(VLOOKUP($E78,'Configurações'!$A$11:$F$20,2,FALSE),"")</f>
        <v/>
      </c>
      <c r="I78" s="28">
        <f>IFERROR(VLOOKUP($E78,'Configurações'!$A$11:$F$20,3,FALSE),"")</f>
        <v/>
      </c>
      <c r="J78" s="24">
        <f>IFERROR(VLOOKUP($E78,'Configurações'!$A$11:$F$20,4,FALSE),"")</f>
        <v/>
      </c>
      <c r="K78" s="24">
        <f>IFERROR(VLOOKUP($E78,'Configurações'!$A$11:$F$20,5,FALSE),"")</f>
        <v/>
      </c>
      <c r="L78" s="24">
        <f>IFERROR(VLOOKUP($B78,'Estoque Central'!$A$6:$M$205,9,FALSE),"")</f>
        <v/>
      </c>
      <c r="M78" s="24">
        <f>IF(COUNTA($A78:$B78,$E78:$G78,$R78)=0,"",IFERROR(IF(OR($C78="",$H78=""),"",IF(OR($D78&lt;&gt;"Ativo",$H78&lt;&gt;"Sim"),0,MIN(IF($J78="",$L78,$J78),ROUNDDOWN($L78*$I78,0)))),""))</f>
        <v/>
      </c>
      <c r="N78" s="24">
        <f>IF(OR($M78="",NOT(ISNUMBER($F78))),"",$M78-$F78)</f>
        <v/>
      </c>
      <c r="O78" s="25">
        <f>IF(COUNTA($A78:$B78,$E78:$G78,$R78)=0,"",IF($S78&lt;&gt;"OK","REVISAR CADASTRO",IF($N78&gt;0,"AUMENTAR",IF($N78&lt;0,"REDUZIR","SEM AÇÃO"))))</f>
        <v/>
      </c>
      <c r="P78" s="25">
        <f>IF(COUNTA($A78:$B78,$E78:$G78,$R78)=0,"",IF($S78&lt;&gt;"OK","REVISAR",IF(OR($D78&lt;&gt;"Ativo",$H78&lt;&gt;"Sim"),IF($F78&gt;0,"ALTO","SEM EXPOSIÇÃO"),IF(OR($F78&gt;$M78,SUMIFS($F$6:$F$305,$B$6:$B$305,$B78,$S$6:$S$305,"OK")&gt;$L78),"ALTO",IF(AND($F78&gt;0,$L78&lt;=$K78),"MÉDIO","BAIXO")))))</f>
        <v/>
      </c>
      <c r="Q78" s="25">
        <f>IF(COUNTA($A78:$B78,$E78:$G78,$R78)=0,"",IF($S78&lt;&gt;"OK","REVISAR",IF($O78="SEM AÇÃO","BAIXA",IF(OR($P78="ALTO",ABS($N78)&gt;='Configurações'!$B$3),"URGENTE",IF(OR($P78="MÉDIO",'Configurações'!$B$5-$R78&gt;'Configurações'!$B$4),"ALTA","NORMAL")))))</f>
        <v/>
      </c>
      <c r="R78" s="23" t="n"/>
      <c r="S78" s="25">
        <f>IF(COUNTA($A78:$B78,$E78:$G78,$R78)=0,"",IF($A78="","ID AUSENTE",IF(COUNTIF($A$6:$A$305,$A78)&gt;1,"ID DUPLICADO",IF($B78="","SKU AUSENTE",IF(COUNTIF('Estoque Central'!$A$6:$A$205,$B78)=0,"SKU NÃO CADASTRADO",IF(IFERROR(VLOOKUP($B78,'Estoque Central'!$A$6:$M$205,13,FALSE),"")&lt;&gt;"OK","ESTOQUE CENTRAL COM PENDÊNCIA",IF($E78="","CANAL AUSENTE",IF(COUNTIF('Configurações'!$A$11:$A$20,$E78)=0,"CANAL NÃO CONFIGURADO",IF(IFERROR(VLOOKUP($E78,'Configurações'!$A$11:$F$20,6,FALSE),"")&lt;&gt;"OK","CANAL COM PENDÊNCIA",IF(COUNTIFS($B$6:$B$305,$B78,$E$6:$E$305,$E78)&gt;1,"SKU/CANAL DUPLICADO",IF(IFERROR(OR(NOT(ISNUMBER($F78)),$F78&lt;0,MOD($F78,1)&lt;&gt;0),TRUE),"SALDO PUBLICADO INVÁLIDO",IF(IFERROR(OR(NOT(ISNUMBER($G78)),$G78&lt;0,MOD($G78,1)&lt;&gt;0),TRUE),"PEDIDOS PENDENTES INVÁLIDOS",IF(IFERROR(OR(NOT(ISNUMBER($R78)),$R78&gt;'Configurações'!$B$5),TRUE),"DATA INVÁLIDA","OK")))))))))))))</f>
        <v/>
      </c>
    </row>
    <row r="79">
      <c r="A79" s="21" t="n"/>
      <c r="B79" s="21" t="n"/>
      <c r="C79" s="27">
        <f>IFERROR(VLOOKUP($B79,'Estoque Central'!$A$6:$M$205,2,FALSE),"")</f>
        <v/>
      </c>
      <c r="D79" s="25">
        <f>IFERROR(VLOOKUP($B79,'Estoque Central'!$A$6:$M$205,3,FALSE),"")</f>
        <v/>
      </c>
      <c r="E79" s="21" t="n"/>
      <c r="F79" s="22" t="n"/>
      <c r="G79" s="22" t="n"/>
      <c r="H79" s="25">
        <f>IFERROR(VLOOKUP($E79,'Configurações'!$A$11:$F$20,2,FALSE),"")</f>
        <v/>
      </c>
      <c r="I79" s="28">
        <f>IFERROR(VLOOKUP($E79,'Configurações'!$A$11:$F$20,3,FALSE),"")</f>
        <v/>
      </c>
      <c r="J79" s="24">
        <f>IFERROR(VLOOKUP($E79,'Configurações'!$A$11:$F$20,4,FALSE),"")</f>
        <v/>
      </c>
      <c r="K79" s="24">
        <f>IFERROR(VLOOKUP($E79,'Configurações'!$A$11:$F$20,5,FALSE),"")</f>
        <v/>
      </c>
      <c r="L79" s="24">
        <f>IFERROR(VLOOKUP($B79,'Estoque Central'!$A$6:$M$205,9,FALSE),"")</f>
        <v/>
      </c>
      <c r="M79" s="24">
        <f>IF(COUNTA($A79:$B79,$E79:$G79,$R79)=0,"",IFERROR(IF(OR($C79="",$H79=""),"",IF(OR($D79&lt;&gt;"Ativo",$H79&lt;&gt;"Sim"),0,MIN(IF($J79="",$L79,$J79),ROUNDDOWN($L79*$I79,0)))),""))</f>
        <v/>
      </c>
      <c r="N79" s="24">
        <f>IF(OR($M79="",NOT(ISNUMBER($F79))),"",$M79-$F79)</f>
        <v/>
      </c>
      <c r="O79" s="25">
        <f>IF(COUNTA($A79:$B79,$E79:$G79,$R79)=0,"",IF($S79&lt;&gt;"OK","REVISAR CADASTRO",IF($N79&gt;0,"AUMENTAR",IF($N79&lt;0,"REDUZIR","SEM AÇÃO"))))</f>
        <v/>
      </c>
      <c r="P79" s="25">
        <f>IF(COUNTA($A79:$B79,$E79:$G79,$R79)=0,"",IF($S79&lt;&gt;"OK","REVISAR",IF(OR($D79&lt;&gt;"Ativo",$H79&lt;&gt;"Sim"),IF($F79&gt;0,"ALTO","SEM EXPOSIÇÃO"),IF(OR($F79&gt;$M79,SUMIFS($F$6:$F$305,$B$6:$B$305,$B79,$S$6:$S$305,"OK")&gt;$L79),"ALTO",IF(AND($F79&gt;0,$L79&lt;=$K79),"MÉDIO","BAIXO")))))</f>
        <v/>
      </c>
      <c r="Q79" s="25">
        <f>IF(COUNTA($A79:$B79,$E79:$G79,$R79)=0,"",IF($S79&lt;&gt;"OK","REVISAR",IF($O79="SEM AÇÃO","BAIXA",IF(OR($P79="ALTO",ABS($N79)&gt;='Configurações'!$B$3),"URGENTE",IF(OR($P79="MÉDIO",'Configurações'!$B$5-$R79&gt;'Configurações'!$B$4),"ALTA","NORMAL")))))</f>
        <v/>
      </c>
      <c r="R79" s="23" t="n"/>
      <c r="S79" s="25">
        <f>IF(COUNTA($A79:$B79,$E79:$G79,$R79)=0,"",IF($A79="","ID AUSENTE",IF(COUNTIF($A$6:$A$305,$A79)&gt;1,"ID DUPLICADO",IF($B79="","SKU AUSENTE",IF(COUNTIF('Estoque Central'!$A$6:$A$205,$B79)=0,"SKU NÃO CADASTRADO",IF(IFERROR(VLOOKUP($B79,'Estoque Central'!$A$6:$M$205,13,FALSE),"")&lt;&gt;"OK","ESTOQUE CENTRAL COM PENDÊNCIA",IF($E79="","CANAL AUSENTE",IF(COUNTIF('Configurações'!$A$11:$A$20,$E79)=0,"CANAL NÃO CONFIGURADO",IF(IFERROR(VLOOKUP($E79,'Configurações'!$A$11:$F$20,6,FALSE),"")&lt;&gt;"OK","CANAL COM PENDÊNCIA",IF(COUNTIFS($B$6:$B$305,$B79,$E$6:$E$305,$E79)&gt;1,"SKU/CANAL DUPLICADO",IF(IFERROR(OR(NOT(ISNUMBER($F79)),$F79&lt;0,MOD($F79,1)&lt;&gt;0),TRUE),"SALDO PUBLICADO INVÁLIDO",IF(IFERROR(OR(NOT(ISNUMBER($G79)),$G79&lt;0,MOD($G79,1)&lt;&gt;0),TRUE),"PEDIDOS PENDENTES INVÁLIDOS",IF(IFERROR(OR(NOT(ISNUMBER($R79)),$R79&gt;'Configurações'!$B$5),TRUE),"DATA INVÁLIDA","OK")))))))))))))</f>
        <v/>
      </c>
    </row>
    <row r="80">
      <c r="A80" s="21" t="n"/>
      <c r="B80" s="21" t="n"/>
      <c r="C80" s="27">
        <f>IFERROR(VLOOKUP($B80,'Estoque Central'!$A$6:$M$205,2,FALSE),"")</f>
        <v/>
      </c>
      <c r="D80" s="25">
        <f>IFERROR(VLOOKUP($B80,'Estoque Central'!$A$6:$M$205,3,FALSE),"")</f>
        <v/>
      </c>
      <c r="E80" s="21" t="n"/>
      <c r="F80" s="22" t="n"/>
      <c r="G80" s="22" t="n"/>
      <c r="H80" s="25">
        <f>IFERROR(VLOOKUP($E80,'Configurações'!$A$11:$F$20,2,FALSE),"")</f>
        <v/>
      </c>
      <c r="I80" s="28">
        <f>IFERROR(VLOOKUP($E80,'Configurações'!$A$11:$F$20,3,FALSE),"")</f>
        <v/>
      </c>
      <c r="J80" s="24">
        <f>IFERROR(VLOOKUP($E80,'Configurações'!$A$11:$F$20,4,FALSE),"")</f>
        <v/>
      </c>
      <c r="K80" s="24">
        <f>IFERROR(VLOOKUP($E80,'Configurações'!$A$11:$F$20,5,FALSE),"")</f>
        <v/>
      </c>
      <c r="L80" s="24">
        <f>IFERROR(VLOOKUP($B80,'Estoque Central'!$A$6:$M$205,9,FALSE),"")</f>
        <v/>
      </c>
      <c r="M80" s="24">
        <f>IF(COUNTA($A80:$B80,$E80:$G80,$R80)=0,"",IFERROR(IF(OR($C80="",$H80=""),"",IF(OR($D80&lt;&gt;"Ativo",$H80&lt;&gt;"Sim"),0,MIN(IF($J80="",$L80,$J80),ROUNDDOWN($L80*$I80,0)))),""))</f>
        <v/>
      </c>
      <c r="N80" s="24">
        <f>IF(OR($M80="",NOT(ISNUMBER($F80))),"",$M80-$F80)</f>
        <v/>
      </c>
      <c r="O80" s="25">
        <f>IF(COUNTA($A80:$B80,$E80:$G80,$R80)=0,"",IF($S80&lt;&gt;"OK","REVISAR CADASTRO",IF($N80&gt;0,"AUMENTAR",IF($N80&lt;0,"REDUZIR","SEM AÇÃO"))))</f>
        <v/>
      </c>
      <c r="P80" s="25">
        <f>IF(COUNTA($A80:$B80,$E80:$G80,$R80)=0,"",IF($S80&lt;&gt;"OK","REVISAR",IF(OR($D80&lt;&gt;"Ativo",$H80&lt;&gt;"Sim"),IF($F80&gt;0,"ALTO","SEM EXPOSIÇÃO"),IF(OR($F80&gt;$M80,SUMIFS($F$6:$F$305,$B$6:$B$305,$B80,$S$6:$S$305,"OK")&gt;$L80),"ALTO",IF(AND($F80&gt;0,$L80&lt;=$K80),"MÉDIO","BAIXO")))))</f>
        <v/>
      </c>
      <c r="Q80" s="25">
        <f>IF(COUNTA($A80:$B80,$E80:$G80,$R80)=0,"",IF($S80&lt;&gt;"OK","REVISAR",IF($O80="SEM AÇÃO","BAIXA",IF(OR($P80="ALTO",ABS($N80)&gt;='Configurações'!$B$3),"URGENTE",IF(OR($P80="MÉDIO",'Configurações'!$B$5-$R80&gt;'Configurações'!$B$4),"ALTA","NORMAL")))))</f>
        <v/>
      </c>
      <c r="R80" s="23" t="n"/>
      <c r="S80" s="25">
        <f>IF(COUNTA($A80:$B80,$E80:$G80,$R80)=0,"",IF($A80="","ID AUSENTE",IF(COUNTIF($A$6:$A$305,$A80)&gt;1,"ID DUPLICADO",IF($B80="","SKU AUSENTE",IF(COUNTIF('Estoque Central'!$A$6:$A$205,$B80)=0,"SKU NÃO CADASTRADO",IF(IFERROR(VLOOKUP($B80,'Estoque Central'!$A$6:$M$205,13,FALSE),"")&lt;&gt;"OK","ESTOQUE CENTRAL COM PENDÊNCIA",IF($E80="","CANAL AUSENTE",IF(COUNTIF('Configurações'!$A$11:$A$20,$E80)=0,"CANAL NÃO CONFIGURADO",IF(IFERROR(VLOOKUP($E80,'Configurações'!$A$11:$F$20,6,FALSE),"")&lt;&gt;"OK","CANAL COM PENDÊNCIA",IF(COUNTIFS($B$6:$B$305,$B80,$E$6:$E$305,$E80)&gt;1,"SKU/CANAL DUPLICADO",IF(IFERROR(OR(NOT(ISNUMBER($F80)),$F80&lt;0,MOD($F80,1)&lt;&gt;0),TRUE),"SALDO PUBLICADO INVÁLIDO",IF(IFERROR(OR(NOT(ISNUMBER($G80)),$G80&lt;0,MOD($G80,1)&lt;&gt;0),TRUE),"PEDIDOS PENDENTES INVÁLIDOS",IF(IFERROR(OR(NOT(ISNUMBER($R80)),$R80&gt;'Configurações'!$B$5),TRUE),"DATA INVÁLIDA","OK")))))))))))))</f>
        <v/>
      </c>
    </row>
    <row r="81">
      <c r="A81" s="21" t="n"/>
      <c r="B81" s="21" t="n"/>
      <c r="C81" s="27">
        <f>IFERROR(VLOOKUP($B81,'Estoque Central'!$A$6:$M$205,2,FALSE),"")</f>
        <v/>
      </c>
      <c r="D81" s="25">
        <f>IFERROR(VLOOKUP($B81,'Estoque Central'!$A$6:$M$205,3,FALSE),"")</f>
        <v/>
      </c>
      <c r="E81" s="21" t="n"/>
      <c r="F81" s="22" t="n"/>
      <c r="G81" s="22" t="n"/>
      <c r="H81" s="25">
        <f>IFERROR(VLOOKUP($E81,'Configurações'!$A$11:$F$20,2,FALSE),"")</f>
        <v/>
      </c>
      <c r="I81" s="28">
        <f>IFERROR(VLOOKUP($E81,'Configurações'!$A$11:$F$20,3,FALSE),"")</f>
        <v/>
      </c>
      <c r="J81" s="24">
        <f>IFERROR(VLOOKUP($E81,'Configurações'!$A$11:$F$20,4,FALSE),"")</f>
        <v/>
      </c>
      <c r="K81" s="24">
        <f>IFERROR(VLOOKUP($E81,'Configurações'!$A$11:$F$20,5,FALSE),"")</f>
        <v/>
      </c>
      <c r="L81" s="24">
        <f>IFERROR(VLOOKUP($B81,'Estoque Central'!$A$6:$M$205,9,FALSE),"")</f>
        <v/>
      </c>
      <c r="M81" s="24">
        <f>IF(COUNTA($A81:$B81,$E81:$G81,$R81)=0,"",IFERROR(IF(OR($C81="",$H81=""),"",IF(OR($D81&lt;&gt;"Ativo",$H81&lt;&gt;"Sim"),0,MIN(IF($J81="",$L81,$J81),ROUNDDOWN($L81*$I81,0)))),""))</f>
        <v/>
      </c>
      <c r="N81" s="24">
        <f>IF(OR($M81="",NOT(ISNUMBER($F81))),"",$M81-$F81)</f>
        <v/>
      </c>
      <c r="O81" s="25">
        <f>IF(COUNTA($A81:$B81,$E81:$G81,$R81)=0,"",IF($S81&lt;&gt;"OK","REVISAR CADASTRO",IF($N81&gt;0,"AUMENTAR",IF($N81&lt;0,"REDUZIR","SEM AÇÃO"))))</f>
        <v/>
      </c>
      <c r="P81" s="25">
        <f>IF(COUNTA($A81:$B81,$E81:$G81,$R81)=0,"",IF($S81&lt;&gt;"OK","REVISAR",IF(OR($D81&lt;&gt;"Ativo",$H81&lt;&gt;"Sim"),IF($F81&gt;0,"ALTO","SEM EXPOSIÇÃO"),IF(OR($F81&gt;$M81,SUMIFS($F$6:$F$305,$B$6:$B$305,$B81,$S$6:$S$305,"OK")&gt;$L81),"ALTO",IF(AND($F81&gt;0,$L81&lt;=$K81),"MÉDIO","BAIXO")))))</f>
        <v/>
      </c>
      <c r="Q81" s="25">
        <f>IF(COUNTA($A81:$B81,$E81:$G81,$R81)=0,"",IF($S81&lt;&gt;"OK","REVISAR",IF($O81="SEM AÇÃO","BAIXA",IF(OR($P81="ALTO",ABS($N81)&gt;='Configurações'!$B$3),"URGENTE",IF(OR($P81="MÉDIO",'Configurações'!$B$5-$R81&gt;'Configurações'!$B$4),"ALTA","NORMAL")))))</f>
        <v/>
      </c>
      <c r="R81" s="23" t="n"/>
      <c r="S81" s="25">
        <f>IF(COUNTA($A81:$B81,$E81:$G81,$R81)=0,"",IF($A81="","ID AUSENTE",IF(COUNTIF($A$6:$A$305,$A81)&gt;1,"ID DUPLICADO",IF($B81="","SKU AUSENTE",IF(COUNTIF('Estoque Central'!$A$6:$A$205,$B81)=0,"SKU NÃO CADASTRADO",IF(IFERROR(VLOOKUP($B81,'Estoque Central'!$A$6:$M$205,13,FALSE),"")&lt;&gt;"OK","ESTOQUE CENTRAL COM PENDÊNCIA",IF($E81="","CANAL AUSENTE",IF(COUNTIF('Configurações'!$A$11:$A$20,$E81)=0,"CANAL NÃO CONFIGURADO",IF(IFERROR(VLOOKUP($E81,'Configurações'!$A$11:$F$20,6,FALSE),"")&lt;&gt;"OK","CANAL COM PENDÊNCIA",IF(COUNTIFS($B$6:$B$305,$B81,$E$6:$E$305,$E81)&gt;1,"SKU/CANAL DUPLICADO",IF(IFERROR(OR(NOT(ISNUMBER($F81)),$F81&lt;0,MOD($F81,1)&lt;&gt;0),TRUE),"SALDO PUBLICADO INVÁLIDO",IF(IFERROR(OR(NOT(ISNUMBER($G81)),$G81&lt;0,MOD($G81,1)&lt;&gt;0),TRUE),"PEDIDOS PENDENTES INVÁLIDOS",IF(IFERROR(OR(NOT(ISNUMBER($R81)),$R81&gt;'Configurações'!$B$5),TRUE),"DATA INVÁLIDA","OK")))))))))))))</f>
        <v/>
      </c>
    </row>
    <row r="82">
      <c r="A82" s="21" t="n"/>
      <c r="B82" s="21" t="n"/>
      <c r="C82" s="27">
        <f>IFERROR(VLOOKUP($B82,'Estoque Central'!$A$6:$M$205,2,FALSE),"")</f>
        <v/>
      </c>
      <c r="D82" s="25">
        <f>IFERROR(VLOOKUP($B82,'Estoque Central'!$A$6:$M$205,3,FALSE),"")</f>
        <v/>
      </c>
      <c r="E82" s="21" t="n"/>
      <c r="F82" s="22" t="n"/>
      <c r="G82" s="22" t="n"/>
      <c r="H82" s="25">
        <f>IFERROR(VLOOKUP($E82,'Configurações'!$A$11:$F$20,2,FALSE),"")</f>
        <v/>
      </c>
      <c r="I82" s="28">
        <f>IFERROR(VLOOKUP($E82,'Configurações'!$A$11:$F$20,3,FALSE),"")</f>
        <v/>
      </c>
      <c r="J82" s="24">
        <f>IFERROR(VLOOKUP($E82,'Configurações'!$A$11:$F$20,4,FALSE),"")</f>
        <v/>
      </c>
      <c r="K82" s="24">
        <f>IFERROR(VLOOKUP($E82,'Configurações'!$A$11:$F$20,5,FALSE),"")</f>
        <v/>
      </c>
      <c r="L82" s="24">
        <f>IFERROR(VLOOKUP($B82,'Estoque Central'!$A$6:$M$205,9,FALSE),"")</f>
        <v/>
      </c>
      <c r="M82" s="24">
        <f>IF(COUNTA($A82:$B82,$E82:$G82,$R82)=0,"",IFERROR(IF(OR($C82="",$H82=""),"",IF(OR($D82&lt;&gt;"Ativo",$H82&lt;&gt;"Sim"),0,MIN(IF($J82="",$L82,$J82),ROUNDDOWN($L82*$I82,0)))),""))</f>
        <v/>
      </c>
      <c r="N82" s="24">
        <f>IF(OR($M82="",NOT(ISNUMBER($F82))),"",$M82-$F82)</f>
        <v/>
      </c>
      <c r="O82" s="25">
        <f>IF(COUNTA($A82:$B82,$E82:$G82,$R82)=0,"",IF($S82&lt;&gt;"OK","REVISAR CADASTRO",IF($N82&gt;0,"AUMENTAR",IF($N82&lt;0,"REDUZIR","SEM AÇÃO"))))</f>
        <v/>
      </c>
      <c r="P82" s="25">
        <f>IF(COUNTA($A82:$B82,$E82:$G82,$R82)=0,"",IF($S82&lt;&gt;"OK","REVISAR",IF(OR($D82&lt;&gt;"Ativo",$H82&lt;&gt;"Sim"),IF($F82&gt;0,"ALTO","SEM EXPOSIÇÃO"),IF(OR($F82&gt;$M82,SUMIFS($F$6:$F$305,$B$6:$B$305,$B82,$S$6:$S$305,"OK")&gt;$L82),"ALTO",IF(AND($F82&gt;0,$L82&lt;=$K82),"MÉDIO","BAIXO")))))</f>
        <v/>
      </c>
      <c r="Q82" s="25">
        <f>IF(COUNTA($A82:$B82,$E82:$G82,$R82)=0,"",IF($S82&lt;&gt;"OK","REVISAR",IF($O82="SEM AÇÃO","BAIXA",IF(OR($P82="ALTO",ABS($N82)&gt;='Configurações'!$B$3),"URGENTE",IF(OR($P82="MÉDIO",'Configurações'!$B$5-$R82&gt;'Configurações'!$B$4),"ALTA","NORMAL")))))</f>
        <v/>
      </c>
      <c r="R82" s="23" t="n"/>
      <c r="S82" s="25">
        <f>IF(COUNTA($A82:$B82,$E82:$G82,$R82)=0,"",IF($A82="","ID AUSENTE",IF(COUNTIF($A$6:$A$305,$A82)&gt;1,"ID DUPLICADO",IF($B82="","SKU AUSENTE",IF(COUNTIF('Estoque Central'!$A$6:$A$205,$B82)=0,"SKU NÃO CADASTRADO",IF(IFERROR(VLOOKUP($B82,'Estoque Central'!$A$6:$M$205,13,FALSE),"")&lt;&gt;"OK","ESTOQUE CENTRAL COM PENDÊNCIA",IF($E82="","CANAL AUSENTE",IF(COUNTIF('Configurações'!$A$11:$A$20,$E82)=0,"CANAL NÃO CONFIGURADO",IF(IFERROR(VLOOKUP($E82,'Configurações'!$A$11:$F$20,6,FALSE),"")&lt;&gt;"OK","CANAL COM PENDÊNCIA",IF(COUNTIFS($B$6:$B$305,$B82,$E$6:$E$305,$E82)&gt;1,"SKU/CANAL DUPLICADO",IF(IFERROR(OR(NOT(ISNUMBER($F82)),$F82&lt;0,MOD($F82,1)&lt;&gt;0),TRUE),"SALDO PUBLICADO INVÁLIDO",IF(IFERROR(OR(NOT(ISNUMBER($G82)),$G82&lt;0,MOD($G82,1)&lt;&gt;0),TRUE),"PEDIDOS PENDENTES INVÁLIDOS",IF(IFERROR(OR(NOT(ISNUMBER($R82)),$R82&gt;'Configurações'!$B$5),TRUE),"DATA INVÁLIDA","OK")))))))))))))</f>
        <v/>
      </c>
    </row>
    <row r="83">
      <c r="A83" s="21" t="n"/>
      <c r="B83" s="21" t="n"/>
      <c r="C83" s="27">
        <f>IFERROR(VLOOKUP($B83,'Estoque Central'!$A$6:$M$205,2,FALSE),"")</f>
        <v/>
      </c>
      <c r="D83" s="25">
        <f>IFERROR(VLOOKUP($B83,'Estoque Central'!$A$6:$M$205,3,FALSE),"")</f>
        <v/>
      </c>
      <c r="E83" s="21" t="n"/>
      <c r="F83" s="22" t="n"/>
      <c r="G83" s="22" t="n"/>
      <c r="H83" s="25">
        <f>IFERROR(VLOOKUP($E83,'Configurações'!$A$11:$F$20,2,FALSE),"")</f>
        <v/>
      </c>
      <c r="I83" s="28">
        <f>IFERROR(VLOOKUP($E83,'Configurações'!$A$11:$F$20,3,FALSE),"")</f>
        <v/>
      </c>
      <c r="J83" s="24">
        <f>IFERROR(VLOOKUP($E83,'Configurações'!$A$11:$F$20,4,FALSE),"")</f>
        <v/>
      </c>
      <c r="K83" s="24">
        <f>IFERROR(VLOOKUP($E83,'Configurações'!$A$11:$F$20,5,FALSE),"")</f>
        <v/>
      </c>
      <c r="L83" s="24">
        <f>IFERROR(VLOOKUP($B83,'Estoque Central'!$A$6:$M$205,9,FALSE),"")</f>
        <v/>
      </c>
      <c r="M83" s="24">
        <f>IF(COUNTA($A83:$B83,$E83:$G83,$R83)=0,"",IFERROR(IF(OR($C83="",$H83=""),"",IF(OR($D83&lt;&gt;"Ativo",$H83&lt;&gt;"Sim"),0,MIN(IF($J83="",$L83,$J83),ROUNDDOWN($L83*$I83,0)))),""))</f>
        <v/>
      </c>
      <c r="N83" s="24">
        <f>IF(OR($M83="",NOT(ISNUMBER($F83))),"",$M83-$F83)</f>
        <v/>
      </c>
      <c r="O83" s="25">
        <f>IF(COUNTA($A83:$B83,$E83:$G83,$R83)=0,"",IF($S83&lt;&gt;"OK","REVISAR CADASTRO",IF($N83&gt;0,"AUMENTAR",IF($N83&lt;0,"REDUZIR","SEM AÇÃO"))))</f>
        <v/>
      </c>
      <c r="P83" s="25">
        <f>IF(COUNTA($A83:$B83,$E83:$G83,$R83)=0,"",IF($S83&lt;&gt;"OK","REVISAR",IF(OR($D83&lt;&gt;"Ativo",$H83&lt;&gt;"Sim"),IF($F83&gt;0,"ALTO","SEM EXPOSIÇÃO"),IF(OR($F83&gt;$M83,SUMIFS($F$6:$F$305,$B$6:$B$305,$B83,$S$6:$S$305,"OK")&gt;$L83),"ALTO",IF(AND($F83&gt;0,$L83&lt;=$K83),"MÉDIO","BAIXO")))))</f>
        <v/>
      </c>
      <c r="Q83" s="25">
        <f>IF(COUNTA($A83:$B83,$E83:$G83,$R83)=0,"",IF($S83&lt;&gt;"OK","REVISAR",IF($O83="SEM AÇÃO","BAIXA",IF(OR($P83="ALTO",ABS($N83)&gt;='Configurações'!$B$3),"URGENTE",IF(OR($P83="MÉDIO",'Configurações'!$B$5-$R83&gt;'Configurações'!$B$4),"ALTA","NORMAL")))))</f>
        <v/>
      </c>
      <c r="R83" s="23" t="n"/>
      <c r="S83" s="25">
        <f>IF(COUNTA($A83:$B83,$E83:$G83,$R83)=0,"",IF($A83="","ID AUSENTE",IF(COUNTIF($A$6:$A$305,$A83)&gt;1,"ID DUPLICADO",IF($B83="","SKU AUSENTE",IF(COUNTIF('Estoque Central'!$A$6:$A$205,$B83)=0,"SKU NÃO CADASTRADO",IF(IFERROR(VLOOKUP($B83,'Estoque Central'!$A$6:$M$205,13,FALSE),"")&lt;&gt;"OK","ESTOQUE CENTRAL COM PENDÊNCIA",IF($E83="","CANAL AUSENTE",IF(COUNTIF('Configurações'!$A$11:$A$20,$E83)=0,"CANAL NÃO CONFIGURADO",IF(IFERROR(VLOOKUP($E83,'Configurações'!$A$11:$F$20,6,FALSE),"")&lt;&gt;"OK","CANAL COM PENDÊNCIA",IF(COUNTIFS($B$6:$B$305,$B83,$E$6:$E$305,$E83)&gt;1,"SKU/CANAL DUPLICADO",IF(IFERROR(OR(NOT(ISNUMBER($F83)),$F83&lt;0,MOD($F83,1)&lt;&gt;0),TRUE),"SALDO PUBLICADO INVÁLIDO",IF(IFERROR(OR(NOT(ISNUMBER($G83)),$G83&lt;0,MOD($G83,1)&lt;&gt;0),TRUE),"PEDIDOS PENDENTES INVÁLIDOS",IF(IFERROR(OR(NOT(ISNUMBER($R83)),$R83&gt;'Configurações'!$B$5),TRUE),"DATA INVÁLIDA","OK")))))))))))))</f>
        <v/>
      </c>
    </row>
    <row r="84">
      <c r="A84" s="21" t="n"/>
      <c r="B84" s="21" t="n"/>
      <c r="C84" s="27">
        <f>IFERROR(VLOOKUP($B84,'Estoque Central'!$A$6:$M$205,2,FALSE),"")</f>
        <v/>
      </c>
      <c r="D84" s="25">
        <f>IFERROR(VLOOKUP($B84,'Estoque Central'!$A$6:$M$205,3,FALSE),"")</f>
        <v/>
      </c>
      <c r="E84" s="21" t="n"/>
      <c r="F84" s="22" t="n"/>
      <c r="G84" s="22" t="n"/>
      <c r="H84" s="25">
        <f>IFERROR(VLOOKUP($E84,'Configurações'!$A$11:$F$20,2,FALSE),"")</f>
        <v/>
      </c>
      <c r="I84" s="28">
        <f>IFERROR(VLOOKUP($E84,'Configurações'!$A$11:$F$20,3,FALSE),"")</f>
        <v/>
      </c>
      <c r="J84" s="24">
        <f>IFERROR(VLOOKUP($E84,'Configurações'!$A$11:$F$20,4,FALSE),"")</f>
        <v/>
      </c>
      <c r="K84" s="24">
        <f>IFERROR(VLOOKUP($E84,'Configurações'!$A$11:$F$20,5,FALSE),"")</f>
        <v/>
      </c>
      <c r="L84" s="24">
        <f>IFERROR(VLOOKUP($B84,'Estoque Central'!$A$6:$M$205,9,FALSE),"")</f>
        <v/>
      </c>
      <c r="M84" s="24">
        <f>IF(COUNTA($A84:$B84,$E84:$G84,$R84)=0,"",IFERROR(IF(OR($C84="",$H84=""),"",IF(OR($D84&lt;&gt;"Ativo",$H84&lt;&gt;"Sim"),0,MIN(IF($J84="",$L84,$J84),ROUNDDOWN($L84*$I84,0)))),""))</f>
        <v/>
      </c>
      <c r="N84" s="24">
        <f>IF(OR($M84="",NOT(ISNUMBER($F84))),"",$M84-$F84)</f>
        <v/>
      </c>
      <c r="O84" s="25">
        <f>IF(COUNTA($A84:$B84,$E84:$G84,$R84)=0,"",IF($S84&lt;&gt;"OK","REVISAR CADASTRO",IF($N84&gt;0,"AUMENTAR",IF($N84&lt;0,"REDUZIR","SEM AÇÃO"))))</f>
        <v/>
      </c>
      <c r="P84" s="25">
        <f>IF(COUNTA($A84:$B84,$E84:$G84,$R84)=0,"",IF($S84&lt;&gt;"OK","REVISAR",IF(OR($D84&lt;&gt;"Ativo",$H84&lt;&gt;"Sim"),IF($F84&gt;0,"ALTO","SEM EXPOSIÇÃO"),IF(OR($F84&gt;$M84,SUMIFS($F$6:$F$305,$B$6:$B$305,$B84,$S$6:$S$305,"OK")&gt;$L84),"ALTO",IF(AND($F84&gt;0,$L84&lt;=$K84),"MÉDIO","BAIXO")))))</f>
        <v/>
      </c>
      <c r="Q84" s="25">
        <f>IF(COUNTA($A84:$B84,$E84:$G84,$R84)=0,"",IF($S84&lt;&gt;"OK","REVISAR",IF($O84="SEM AÇÃO","BAIXA",IF(OR($P84="ALTO",ABS($N84)&gt;='Configurações'!$B$3),"URGENTE",IF(OR($P84="MÉDIO",'Configurações'!$B$5-$R84&gt;'Configurações'!$B$4),"ALTA","NORMAL")))))</f>
        <v/>
      </c>
      <c r="R84" s="23" t="n"/>
      <c r="S84" s="25">
        <f>IF(COUNTA($A84:$B84,$E84:$G84,$R84)=0,"",IF($A84="","ID AUSENTE",IF(COUNTIF($A$6:$A$305,$A84)&gt;1,"ID DUPLICADO",IF($B84="","SKU AUSENTE",IF(COUNTIF('Estoque Central'!$A$6:$A$205,$B84)=0,"SKU NÃO CADASTRADO",IF(IFERROR(VLOOKUP($B84,'Estoque Central'!$A$6:$M$205,13,FALSE),"")&lt;&gt;"OK","ESTOQUE CENTRAL COM PENDÊNCIA",IF($E84="","CANAL AUSENTE",IF(COUNTIF('Configurações'!$A$11:$A$20,$E84)=0,"CANAL NÃO CONFIGURADO",IF(IFERROR(VLOOKUP($E84,'Configurações'!$A$11:$F$20,6,FALSE),"")&lt;&gt;"OK","CANAL COM PENDÊNCIA",IF(COUNTIFS($B$6:$B$305,$B84,$E$6:$E$305,$E84)&gt;1,"SKU/CANAL DUPLICADO",IF(IFERROR(OR(NOT(ISNUMBER($F84)),$F84&lt;0,MOD($F84,1)&lt;&gt;0),TRUE),"SALDO PUBLICADO INVÁLIDO",IF(IFERROR(OR(NOT(ISNUMBER($G84)),$G84&lt;0,MOD($G84,1)&lt;&gt;0),TRUE),"PEDIDOS PENDENTES INVÁLIDOS",IF(IFERROR(OR(NOT(ISNUMBER($R84)),$R84&gt;'Configurações'!$B$5),TRUE),"DATA INVÁLIDA","OK")))))))))))))</f>
        <v/>
      </c>
    </row>
    <row r="85">
      <c r="A85" s="21" t="n"/>
      <c r="B85" s="21" t="n"/>
      <c r="C85" s="27">
        <f>IFERROR(VLOOKUP($B85,'Estoque Central'!$A$6:$M$205,2,FALSE),"")</f>
        <v/>
      </c>
      <c r="D85" s="25">
        <f>IFERROR(VLOOKUP($B85,'Estoque Central'!$A$6:$M$205,3,FALSE),"")</f>
        <v/>
      </c>
      <c r="E85" s="21" t="n"/>
      <c r="F85" s="22" t="n"/>
      <c r="G85" s="22" t="n"/>
      <c r="H85" s="25">
        <f>IFERROR(VLOOKUP($E85,'Configurações'!$A$11:$F$20,2,FALSE),"")</f>
        <v/>
      </c>
      <c r="I85" s="28">
        <f>IFERROR(VLOOKUP($E85,'Configurações'!$A$11:$F$20,3,FALSE),"")</f>
        <v/>
      </c>
      <c r="J85" s="24">
        <f>IFERROR(VLOOKUP($E85,'Configurações'!$A$11:$F$20,4,FALSE),"")</f>
        <v/>
      </c>
      <c r="K85" s="24">
        <f>IFERROR(VLOOKUP($E85,'Configurações'!$A$11:$F$20,5,FALSE),"")</f>
        <v/>
      </c>
      <c r="L85" s="24">
        <f>IFERROR(VLOOKUP($B85,'Estoque Central'!$A$6:$M$205,9,FALSE),"")</f>
        <v/>
      </c>
      <c r="M85" s="24">
        <f>IF(COUNTA($A85:$B85,$E85:$G85,$R85)=0,"",IFERROR(IF(OR($C85="",$H85=""),"",IF(OR($D85&lt;&gt;"Ativo",$H85&lt;&gt;"Sim"),0,MIN(IF($J85="",$L85,$J85),ROUNDDOWN($L85*$I85,0)))),""))</f>
        <v/>
      </c>
      <c r="N85" s="24">
        <f>IF(OR($M85="",NOT(ISNUMBER($F85))),"",$M85-$F85)</f>
        <v/>
      </c>
      <c r="O85" s="25">
        <f>IF(COUNTA($A85:$B85,$E85:$G85,$R85)=0,"",IF($S85&lt;&gt;"OK","REVISAR CADASTRO",IF($N85&gt;0,"AUMENTAR",IF($N85&lt;0,"REDUZIR","SEM AÇÃO"))))</f>
        <v/>
      </c>
      <c r="P85" s="25">
        <f>IF(COUNTA($A85:$B85,$E85:$G85,$R85)=0,"",IF($S85&lt;&gt;"OK","REVISAR",IF(OR($D85&lt;&gt;"Ativo",$H85&lt;&gt;"Sim"),IF($F85&gt;0,"ALTO","SEM EXPOSIÇÃO"),IF(OR($F85&gt;$M85,SUMIFS($F$6:$F$305,$B$6:$B$305,$B85,$S$6:$S$305,"OK")&gt;$L85),"ALTO",IF(AND($F85&gt;0,$L85&lt;=$K85),"MÉDIO","BAIXO")))))</f>
        <v/>
      </c>
      <c r="Q85" s="25">
        <f>IF(COUNTA($A85:$B85,$E85:$G85,$R85)=0,"",IF($S85&lt;&gt;"OK","REVISAR",IF($O85="SEM AÇÃO","BAIXA",IF(OR($P85="ALTO",ABS($N85)&gt;='Configurações'!$B$3),"URGENTE",IF(OR($P85="MÉDIO",'Configurações'!$B$5-$R85&gt;'Configurações'!$B$4),"ALTA","NORMAL")))))</f>
        <v/>
      </c>
      <c r="R85" s="23" t="n"/>
      <c r="S85" s="25">
        <f>IF(COUNTA($A85:$B85,$E85:$G85,$R85)=0,"",IF($A85="","ID AUSENTE",IF(COUNTIF($A$6:$A$305,$A85)&gt;1,"ID DUPLICADO",IF($B85="","SKU AUSENTE",IF(COUNTIF('Estoque Central'!$A$6:$A$205,$B85)=0,"SKU NÃO CADASTRADO",IF(IFERROR(VLOOKUP($B85,'Estoque Central'!$A$6:$M$205,13,FALSE),"")&lt;&gt;"OK","ESTOQUE CENTRAL COM PENDÊNCIA",IF($E85="","CANAL AUSENTE",IF(COUNTIF('Configurações'!$A$11:$A$20,$E85)=0,"CANAL NÃO CONFIGURADO",IF(IFERROR(VLOOKUP($E85,'Configurações'!$A$11:$F$20,6,FALSE),"")&lt;&gt;"OK","CANAL COM PENDÊNCIA",IF(COUNTIFS($B$6:$B$305,$B85,$E$6:$E$305,$E85)&gt;1,"SKU/CANAL DUPLICADO",IF(IFERROR(OR(NOT(ISNUMBER($F85)),$F85&lt;0,MOD($F85,1)&lt;&gt;0),TRUE),"SALDO PUBLICADO INVÁLIDO",IF(IFERROR(OR(NOT(ISNUMBER($G85)),$G85&lt;0,MOD($G85,1)&lt;&gt;0),TRUE),"PEDIDOS PENDENTES INVÁLIDOS",IF(IFERROR(OR(NOT(ISNUMBER($R85)),$R85&gt;'Configurações'!$B$5),TRUE),"DATA INVÁLIDA","OK")))))))))))))</f>
        <v/>
      </c>
    </row>
    <row r="86">
      <c r="A86" s="21" t="n"/>
      <c r="B86" s="21" t="n"/>
      <c r="C86" s="27">
        <f>IFERROR(VLOOKUP($B86,'Estoque Central'!$A$6:$M$205,2,FALSE),"")</f>
        <v/>
      </c>
      <c r="D86" s="25">
        <f>IFERROR(VLOOKUP($B86,'Estoque Central'!$A$6:$M$205,3,FALSE),"")</f>
        <v/>
      </c>
      <c r="E86" s="21" t="n"/>
      <c r="F86" s="22" t="n"/>
      <c r="G86" s="22" t="n"/>
      <c r="H86" s="25">
        <f>IFERROR(VLOOKUP($E86,'Configurações'!$A$11:$F$20,2,FALSE),"")</f>
        <v/>
      </c>
      <c r="I86" s="28">
        <f>IFERROR(VLOOKUP($E86,'Configurações'!$A$11:$F$20,3,FALSE),"")</f>
        <v/>
      </c>
      <c r="J86" s="24">
        <f>IFERROR(VLOOKUP($E86,'Configurações'!$A$11:$F$20,4,FALSE),"")</f>
        <v/>
      </c>
      <c r="K86" s="24">
        <f>IFERROR(VLOOKUP($E86,'Configurações'!$A$11:$F$20,5,FALSE),"")</f>
        <v/>
      </c>
      <c r="L86" s="24">
        <f>IFERROR(VLOOKUP($B86,'Estoque Central'!$A$6:$M$205,9,FALSE),"")</f>
        <v/>
      </c>
      <c r="M86" s="24">
        <f>IF(COUNTA($A86:$B86,$E86:$G86,$R86)=0,"",IFERROR(IF(OR($C86="",$H86=""),"",IF(OR($D86&lt;&gt;"Ativo",$H86&lt;&gt;"Sim"),0,MIN(IF($J86="",$L86,$J86),ROUNDDOWN($L86*$I86,0)))),""))</f>
        <v/>
      </c>
      <c r="N86" s="24">
        <f>IF(OR($M86="",NOT(ISNUMBER($F86))),"",$M86-$F86)</f>
        <v/>
      </c>
      <c r="O86" s="25">
        <f>IF(COUNTA($A86:$B86,$E86:$G86,$R86)=0,"",IF($S86&lt;&gt;"OK","REVISAR CADASTRO",IF($N86&gt;0,"AUMENTAR",IF($N86&lt;0,"REDUZIR","SEM AÇÃO"))))</f>
        <v/>
      </c>
      <c r="P86" s="25">
        <f>IF(COUNTA($A86:$B86,$E86:$G86,$R86)=0,"",IF($S86&lt;&gt;"OK","REVISAR",IF(OR($D86&lt;&gt;"Ativo",$H86&lt;&gt;"Sim"),IF($F86&gt;0,"ALTO","SEM EXPOSIÇÃO"),IF(OR($F86&gt;$M86,SUMIFS($F$6:$F$305,$B$6:$B$305,$B86,$S$6:$S$305,"OK")&gt;$L86),"ALTO",IF(AND($F86&gt;0,$L86&lt;=$K86),"MÉDIO","BAIXO")))))</f>
        <v/>
      </c>
      <c r="Q86" s="25">
        <f>IF(COUNTA($A86:$B86,$E86:$G86,$R86)=0,"",IF($S86&lt;&gt;"OK","REVISAR",IF($O86="SEM AÇÃO","BAIXA",IF(OR($P86="ALTO",ABS($N86)&gt;='Configurações'!$B$3),"URGENTE",IF(OR($P86="MÉDIO",'Configurações'!$B$5-$R86&gt;'Configurações'!$B$4),"ALTA","NORMAL")))))</f>
        <v/>
      </c>
      <c r="R86" s="23" t="n"/>
      <c r="S86" s="25">
        <f>IF(COUNTA($A86:$B86,$E86:$G86,$R86)=0,"",IF($A86="","ID AUSENTE",IF(COUNTIF($A$6:$A$305,$A86)&gt;1,"ID DUPLICADO",IF($B86="","SKU AUSENTE",IF(COUNTIF('Estoque Central'!$A$6:$A$205,$B86)=0,"SKU NÃO CADASTRADO",IF(IFERROR(VLOOKUP($B86,'Estoque Central'!$A$6:$M$205,13,FALSE),"")&lt;&gt;"OK","ESTOQUE CENTRAL COM PENDÊNCIA",IF($E86="","CANAL AUSENTE",IF(COUNTIF('Configurações'!$A$11:$A$20,$E86)=0,"CANAL NÃO CONFIGURADO",IF(IFERROR(VLOOKUP($E86,'Configurações'!$A$11:$F$20,6,FALSE),"")&lt;&gt;"OK","CANAL COM PENDÊNCIA",IF(COUNTIFS($B$6:$B$305,$B86,$E$6:$E$305,$E86)&gt;1,"SKU/CANAL DUPLICADO",IF(IFERROR(OR(NOT(ISNUMBER($F86)),$F86&lt;0,MOD($F86,1)&lt;&gt;0),TRUE),"SALDO PUBLICADO INVÁLIDO",IF(IFERROR(OR(NOT(ISNUMBER($G86)),$G86&lt;0,MOD($G86,1)&lt;&gt;0),TRUE),"PEDIDOS PENDENTES INVÁLIDOS",IF(IFERROR(OR(NOT(ISNUMBER($R86)),$R86&gt;'Configurações'!$B$5),TRUE),"DATA INVÁLIDA","OK")))))))))))))</f>
        <v/>
      </c>
    </row>
    <row r="87">
      <c r="A87" s="21" t="n"/>
      <c r="B87" s="21" t="n"/>
      <c r="C87" s="27">
        <f>IFERROR(VLOOKUP($B87,'Estoque Central'!$A$6:$M$205,2,FALSE),"")</f>
        <v/>
      </c>
      <c r="D87" s="25">
        <f>IFERROR(VLOOKUP($B87,'Estoque Central'!$A$6:$M$205,3,FALSE),"")</f>
        <v/>
      </c>
      <c r="E87" s="21" t="n"/>
      <c r="F87" s="22" t="n"/>
      <c r="G87" s="22" t="n"/>
      <c r="H87" s="25">
        <f>IFERROR(VLOOKUP($E87,'Configurações'!$A$11:$F$20,2,FALSE),"")</f>
        <v/>
      </c>
      <c r="I87" s="28">
        <f>IFERROR(VLOOKUP($E87,'Configurações'!$A$11:$F$20,3,FALSE),"")</f>
        <v/>
      </c>
      <c r="J87" s="24">
        <f>IFERROR(VLOOKUP($E87,'Configurações'!$A$11:$F$20,4,FALSE),"")</f>
        <v/>
      </c>
      <c r="K87" s="24">
        <f>IFERROR(VLOOKUP($E87,'Configurações'!$A$11:$F$20,5,FALSE),"")</f>
        <v/>
      </c>
      <c r="L87" s="24">
        <f>IFERROR(VLOOKUP($B87,'Estoque Central'!$A$6:$M$205,9,FALSE),"")</f>
        <v/>
      </c>
      <c r="M87" s="24">
        <f>IF(COUNTA($A87:$B87,$E87:$G87,$R87)=0,"",IFERROR(IF(OR($C87="",$H87=""),"",IF(OR($D87&lt;&gt;"Ativo",$H87&lt;&gt;"Sim"),0,MIN(IF($J87="",$L87,$J87),ROUNDDOWN($L87*$I87,0)))),""))</f>
        <v/>
      </c>
      <c r="N87" s="24">
        <f>IF(OR($M87="",NOT(ISNUMBER($F87))),"",$M87-$F87)</f>
        <v/>
      </c>
      <c r="O87" s="25">
        <f>IF(COUNTA($A87:$B87,$E87:$G87,$R87)=0,"",IF($S87&lt;&gt;"OK","REVISAR CADASTRO",IF($N87&gt;0,"AUMENTAR",IF($N87&lt;0,"REDUZIR","SEM AÇÃO"))))</f>
        <v/>
      </c>
      <c r="P87" s="25">
        <f>IF(COUNTA($A87:$B87,$E87:$G87,$R87)=0,"",IF($S87&lt;&gt;"OK","REVISAR",IF(OR($D87&lt;&gt;"Ativo",$H87&lt;&gt;"Sim"),IF($F87&gt;0,"ALTO","SEM EXPOSIÇÃO"),IF(OR($F87&gt;$M87,SUMIFS($F$6:$F$305,$B$6:$B$305,$B87,$S$6:$S$305,"OK")&gt;$L87),"ALTO",IF(AND($F87&gt;0,$L87&lt;=$K87),"MÉDIO","BAIXO")))))</f>
        <v/>
      </c>
      <c r="Q87" s="25">
        <f>IF(COUNTA($A87:$B87,$E87:$G87,$R87)=0,"",IF($S87&lt;&gt;"OK","REVISAR",IF($O87="SEM AÇÃO","BAIXA",IF(OR($P87="ALTO",ABS($N87)&gt;='Configurações'!$B$3),"URGENTE",IF(OR($P87="MÉDIO",'Configurações'!$B$5-$R87&gt;'Configurações'!$B$4),"ALTA","NORMAL")))))</f>
        <v/>
      </c>
      <c r="R87" s="23" t="n"/>
      <c r="S87" s="25">
        <f>IF(COUNTA($A87:$B87,$E87:$G87,$R87)=0,"",IF($A87="","ID AUSENTE",IF(COUNTIF($A$6:$A$305,$A87)&gt;1,"ID DUPLICADO",IF($B87="","SKU AUSENTE",IF(COUNTIF('Estoque Central'!$A$6:$A$205,$B87)=0,"SKU NÃO CADASTRADO",IF(IFERROR(VLOOKUP($B87,'Estoque Central'!$A$6:$M$205,13,FALSE),"")&lt;&gt;"OK","ESTOQUE CENTRAL COM PENDÊNCIA",IF($E87="","CANAL AUSENTE",IF(COUNTIF('Configurações'!$A$11:$A$20,$E87)=0,"CANAL NÃO CONFIGURADO",IF(IFERROR(VLOOKUP($E87,'Configurações'!$A$11:$F$20,6,FALSE),"")&lt;&gt;"OK","CANAL COM PENDÊNCIA",IF(COUNTIFS($B$6:$B$305,$B87,$E$6:$E$305,$E87)&gt;1,"SKU/CANAL DUPLICADO",IF(IFERROR(OR(NOT(ISNUMBER($F87)),$F87&lt;0,MOD($F87,1)&lt;&gt;0),TRUE),"SALDO PUBLICADO INVÁLIDO",IF(IFERROR(OR(NOT(ISNUMBER($G87)),$G87&lt;0,MOD($G87,1)&lt;&gt;0),TRUE),"PEDIDOS PENDENTES INVÁLIDOS",IF(IFERROR(OR(NOT(ISNUMBER($R87)),$R87&gt;'Configurações'!$B$5),TRUE),"DATA INVÁLIDA","OK")))))))))))))</f>
        <v/>
      </c>
    </row>
    <row r="88">
      <c r="A88" s="21" t="n"/>
      <c r="B88" s="21" t="n"/>
      <c r="C88" s="27">
        <f>IFERROR(VLOOKUP($B88,'Estoque Central'!$A$6:$M$205,2,FALSE),"")</f>
        <v/>
      </c>
      <c r="D88" s="25">
        <f>IFERROR(VLOOKUP($B88,'Estoque Central'!$A$6:$M$205,3,FALSE),"")</f>
        <v/>
      </c>
      <c r="E88" s="21" t="n"/>
      <c r="F88" s="22" t="n"/>
      <c r="G88" s="22" t="n"/>
      <c r="H88" s="25">
        <f>IFERROR(VLOOKUP($E88,'Configurações'!$A$11:$F$20,2,FALSE),"")</f>
        <v/>
      </c>
      <c r="I88" s="28">
        <f>IFERROR(VLOOKUP($E88,'Configurações'!$A$11:$F$20,3,FALSE),"")</f>
        <v/>
      </c>
      <c r="J88" s="24">
        <f>IFERROR(VLOOKUP($E88,'Configurações'!$A$11:$F$20,4,FALSE),"")</f>
        <v/>
      </c>
      <c r="K88" s="24">
        <f>IFERROR(VLOOKUP($E88,'Configurações'!$A$11:$F$20,5,FALSE),"")</f>
        <v/>
      </c>
      <c r="L88" s="24">
        <f>IFERROR(VLOOKUP($B88,'Estoque Central'!$A$6:$M$205,9,FALSE),"")</f>
        <v/>
      </c>
      <c r="M88" s="24">
        <f>IF(COUNTA($A88:$B88,$E88:$G88,$R88)=0,"",IFERROR(IF(OR($C88="",$H88=""),"",IF(OR($D88&lt;&gt;"Ativo",$H88&lt;&gt;"Sim"),0,MIN(IF($J88="",$L88,$J88),ROUNDDOWN($L88*$I88,0)))),""))</f>
        <v/>
      </c>
      <c r="N88" s="24">
        <f>IF(OR($M88="",NOT(ISNUMBER($F88))),"",$M88-$F88)</f>
        <v/>
      </c>
      <c r="O88" s="25">
        <f>IF(COUNTA($A88:$B88,$E88:$G88,$R88)=0,"",IF($S88&lt;&gt;"OK","REVISAR CADASTRO",IF($N88&gt;0,"AUMENTAR",IF($N88&lt;0,"REDUZIR","SEM AÇÃO"))))</f>
        <v/>
      </c>
      <c r="P88" s="25">
        <f>IF(COUNTA($A88:$B88,$E88:$G88,$R88)=0,"",IF($S88&lt;&gt;"OK","REVISAR",IF(OR($D88&lt;&gt;"Ativo",$H88&lt;&gt;"Sim"),IF($F88&gt;0,"ALTO","SEM EXPOSIÇÃO"),IF(OR($F88&gt;$M88,SUMIFS($F$6:$F$305,$B$6:$B$305,$B88,$S$6:$S$305,"OK")&gt;$L88),"ALTO",IF(AND($F88&gt;0,$L88&lt;=$K88),"MÉDIO","BAIXO")))))</f>
        <v/>
      </c>
      <c r="Q88" s="25">
        <f>IF(COUNTA($A88:$B88,$E88:$G88,$R88)=0,"",IF($S88&lt;&gt;"OK","REVISAR",IF($O88="SEM AÇÃO","BAIXA",IF(OR($P88="ALTO",ABS($N88)&gt;='Configurações'!$B$3),"URGENTE",IF(OR($P88="MÉDIO",'Configurações'!$B$5-$R88&gt;'Configurações'!$B$4),"ALTA","NORMAL")))))</f>
        <v/>
      </c>
      <c r="R88" s="23" t="n"/>
      <c r="S88" s="25">
        <f>IF(COUNTA($A88:$B88,$E88:$G88,$R88)=0,"",IF($A88="","ID AUSENTE",IF(COUNTIF($A$6:$A$305,$A88)&gt;1,"ID DUPLICADO",IF($B88="","SKU AUSENTE",IF(COUNTIF('Estoque Central'!$A$6:$A$205,$B88)=0,"SKU NÃO CADASTRADO",IF(IFERROR(VLOOKUP($B88,'Estoque Central'!$A$6:$M$205,13,FALSE),"")&lt;&gt;"OK","ESTOQUE CENTRAL COM PENDÊNCIA",IF($E88="","CANAL AUSENTE",IF(COUNTIF('Configurações'!$A$11:$A$20,$E88)=0,"CANAL NÃO CONFIGURADO",IF(IFERROR(VLOOKUP($E88,'Configurações'!$A$11:$F$20,6,FALSE),"")&lt;&gt;"OK","CANAL COM PENDÊNCIA",IF(COUNTIFS($B$6:$B$305,$B88,$E$6:$E$305,$E88)&gt;1,"SKU/CANAL DUPLICADO",IF(IFERROR(OR(NOT(ISNUMBER($F88)),$F88&lt;0,MOD($F88,1)&lt;&gt;0),TRUE),"SALDO PUBLICADO INVÁLIDO",IF(IFERROR(OR(NOT(ISNUMBER($G88)),$G88&lt;0,MOD($G88,1)&lt;&gt;0),TRUE),"PEDIDOS PENDENTES INVÁLIDOS",IF(IFERROR(OR(NOT(ISNUMBER($R88)),$R88&gt;'Configurações'!$B$5),TRUE),"DATA INVÁLIDA","OK")))))))))))))</f>
        <v/>
      </c>
    </row>
    <row r="89">
      <c r="A89" s="21" t="n"/>
      <c r="B89" s="21" t="n"/>
      <c r="C89" s="27">
        <f>IFERROR(VLOOKUP($B89,'Estoque Central'!$A$6:$M$205,2,FALSE),"")</f>
        <v/>
      </c>
      <c r="D89" s="25">
        <f>IFERROR(VLOOKUP($B89,'Estoque Central'!$A$6:$M$205,3,FALSE),"")</f>
        <v/>
      </c>
      <c r="E89" s="21" t="n"/>
      <c r="F89" s="22" t="n"/>
      <c r="G89" s="22" t="n"/>
      <c r="H89" s="25">
        <f>IFERROR(VLOOKUP($E89,'Configurações'!$A$11:$F$20,2,FALSE),"")</f>
        <v/>
      </c>
      <c r="I89" s="28">
        <f>IFERROR(VLOOKUP($E89,'Configurações'!$A$11:$F$20,3,FALSE),"")</f>
        <v/>
      </c>
      <c r="J89" s="24">
        <f>IFERROR(VLOOKUP($E89,'Configurações'!$A$11:$F$20,4,FALSE),"")</f>
        <v/>
      </c>
      <c r="K89" s="24">
        <f>IFERROR(VLOOKUP($E89,'Configurações'!$A$11:$F$20,5,FALSE),"")</f>
        <v/>
      </c>
      <c r="L89" s="24">
        <f>IFERROR(VLOOKUP($B89,'Estoque Central'!$A$6:$M$205,9,FALSE),"")</f>
        <v/>
      </c>
      <c r="M89" s="24">
        <f>IF(COUNTA($A89:$B89,$E89:$G89,$R89)=0,"",IFERROR(IF(OR($C89="",$H89=""),"",IF(OR($D89&lt;&gt;"Ativo",$H89&lt;&gt;"Sim"),0,MIN(IF($J89="",$L89,$J89),ROUNDDOWN($L89*$I89,0)))),""))</f>
        <v/>
      </c>
      <c r="N89" s="24">
        <f>IF(OR($M89="",NOT(ISNUMBER($F89))),"",$M89-$F89)</f>
        <v/>
      </c>
      <c r="O89" s="25">
        <f>IF(COUNTA($A89:$B89,$E89:$G89,$R89)=0,"",IF($S89&lt;&gt;"OK","REVISAR CADASTRO",IF($N89&gt;0,"AUMENTAR",IF($N89&lt;0,"REDUZIR","SEM AÇÃO"))))</f>
        <v/>
      </c>
      <c r="P89" s="25">
        <f>IF(COUNTA($A89:$B89,$E89:$G89,$R89)=0,"",IF($S89&lt;&gt;"OK","REVISAR",IF(OR($D89&lt;&gt;"Ativo",$H89&lt;&gt;"Sim"),IF($F89&gt;0,"ALTO","SEM EXPOSIÇÃO"),IF(OR($F89&gt;$M89,SUMIFS($F$6:$F$305,$B$6:$B$305,$B89,$S$6:$S$305,"OK")&gt;$L89),"ALTO",IF(AND($F89&gt;0,$L89&lt;=$K89),"MÉDIO","BAIXO")))))</f>
        <v/>
      </c>
      <c r="Q89" s="25">
        <f>IF(COUNTA($A89:$B89,$E89:$G89,$R89)=0,"",IF($S89&lt;&gt;"OK","REVISAR",IF($O89="SEM AÇÃO","BAIXA",IF(OR($P89="ALTO",ABS($N89)&gt;='Configurações'!$B$3),"URGENTE",IF(OR($P89="MÉDIO",'Configurações'!$B$5-$R89&gt;'Configurações'!$B$4),"ALTA","NORMAL")))))</f>
        <v/>
      </c>
      <c r="R89" s="23" t="n"/>
      <c r="S89" s="25">
        <f>IF(COUNTA($A89:$B89,$E89:$G89,$R89)=0,"",IF($A89="","ID AUSENTE",IF(COUNTIF($A$6:$A$305,$A89)&gt;1,"ID DUPLICADO",IF($B89="","SKU AUSENTE",IF(COUNTIF('Estoque Central'!$A$6:$A$205,$B89)=0,"SKU NÃO CADASTRADO",IF(IFERROR(VLOOKUP($B89,'Estoque Central'!$A$6:$M$205,13,FALSE),"")&lt;&gt;"OK","ESTOQUE CENTRAL COM PENDÊNCIA",IF($E89="","CANAL AUSENTE",IF(COUNTIF('Configurações'!$A$11:$A$20,$E89)=0,"CANAL NÃO CONFIGURADO",IF(IFERROR(VLOOKUP($E89,'Configurações'!$A$11:$F$20,6,FALSE),"")&lt;&gt;"OK","CANAL COM PENDÊNCIA",IF(COUNTIFS($B$6:$B$305,$B89,$E$6:$E$305,$E89)&gt;1,"SKU/CANAL DUPLICADO",IF(IFERROR(OR(NOT(ISNUMBER($F89)),$F89&lt;0,MOD($F89,1)&lt;&gt;0),TRUE),"SALDO PUBLICADO INVÁLIDO",IF(IFERROR(OR(NOT(ISNUMBER($G89)),$G89&lt;0,MOD($G89,1)&lt;&gt;0),TRUE),"PEDIDOS PENDENTES INVÁLIDOS",IF(IFERROR(OR(NOT(ISNUMBER($R89)),$R89&gt;'Configurações'!$B$5),TRUE),"DATA INVÁLIDA","OK")))))))))))))</f>
        <v/>
      </c>
    </row>
    <row r="90">
      <c r="A90" s="21" t="n"/>
      <c r="B90" s="21" t="n"/>
      <c r="C90" s="27">
        <f>IFERROR(VLOOKUP($B90,'Estoque Central'!$A$6:$M$205,2,FALSE),"")</f>
        <v/>
      </c>
      <c r="D90" s="25">
        <f>IFERROR(VLOOKUP($B90,'Estoque Central'!$A$6:$M$205,3,FALSE),"")</f>
        <v/>
      </c>
      <c r="E90" s="21" t="n"/>
      <c r="F90" s="22" t="n"/>
      <c r="G90" s="22" t="n"/>
      <c r="H90" s="25">
        <f>IFERROR(VLOOKUP($E90,'Configurações'!$A$11:$F$20,2,FALSE),"")</f>
        <v/>
      </c>
      <c r="I90" s="28">
        <f>IFERROR(VLOOKUP($E90,'Configurações'!$A$11:$F$20,3,FALSE),"")</f>
        <v/>
      </c>
      <c r="J90" s="24">
        <f>IFERROR(VLOOKUP($E90,'Configurações'!$A$11:$F$20,4,FALSE),"")</f>
        <v/>
      </c>
      <c r="K90" s="24">
        <f>IFERROR(VLOOKUP($E90,'Configurações'!$A$11:$F$20,5,FALSE),"")</f>
        <v/>
      </c>
      <c r="L90" s="24">
        <f>IFERROR(VLOOKUP($B90,'Estoque Central'!$A$6:$M$205,9,FALSE),"")</f>
        <v/>
      </c>
      <c r="M90" s="24">
        <f>IF(COUNTA($A90:$B90,$E90:$G90,$R90)=0,"",IFERROR(IF(OR($C90="",$H90=""),"",IF(OR($D90&lt;&gt;"Ativo",$H90&lt;&gt;"Sim"),0,MIN(IF($J90="",$L90,$J90),ROUNDDOWN($L90*$I90,0)))),""))</f>
        <v/>
      </c>
      <c r="N90" s="24">
        <f>IF(OR($M90="",NOT(ISNUMBER($F90))),"",$M90-$F90)</f>
        <v/>
      </c>
      <c r="O90" s="25">
        <f>IF(COUNTA($A90:$B90,$E90:$G90,$R90)=0,"",IF($S90&lt;&gt;"OK","REVISAR CADASTRO",IF($N90&gt;0,"AUMENTAR",IF($N90&lt;0,"REDUZIR","SEM AÇÃO"))))</f>
        <v/>
      </c>
      <c r="P90" s="25">
        <f>IF(COUNTA($A90:$B90,$E90:$G90,$R90)=0,"",IF($S90&lt;&gt;"OK","REVISAR",IF(OR($D90&lt;&gt;"Ativo",$H90&lt;&gt;"Sim"),IF($F90&gt;0,"ALTO","SEM EXPOSIÇÃO"),IF(OR($F90&gt;$M90,SUMIFS($F$6:$F$305,$B$6:$B$305,$B90,$S$6:$S$305,"OK")&gt;$L90),"ALTO",IF(AND($F90&gt;0,$L90&lt;=$K90),"MÉDIO","BAIXO")))))</f>
        <v/>
      </c>
      <c r="Q90" s="25">
        <f>IF(COUNTA($A90:$B90,$E90:$G90,$R90)=0,"",IF($S90&lt;&gt;"OK","REVISAR",IF($O90="SEM AÇÃO","BAIXA",IF(OR($P90="ALTO",ABS($N90)&gt;='Configurações'!$B$3),"URGENTE",IF(OR($P90="MÉDIO",'Configurações'!$B$5-$R90&gt;'Configurações'!$B$4),"ALTA","NORMAL")))))</f>
        <v/>
      </c>
      <c r="R90" s="23" t="n"/>
      <c r="S90" s="25">
        <f>IF(COUNTA($A90:$B90,$E90:$G90,$R90)=0,"",IF($A90="","ID AUSENTE",IF(COUNTIF($A$6:$A$305,$A90)&gt;1,"ID DUPLICADO",IF($B90="","SKU AUSENTE",IF(COUNTIF('Estoque Central'!$A$6:$A$205,$B90)=0,"SKU NÃO CADASTRADO",IF(IFERROR(VLOOKUP($B90,'Estoque Central'!$A$6:$M$205,13,FALSE),"")&lt;&gt;"OK","ESTOQUE CENTRAL COM PENDÊNCIA",IF($E90="","CANAL AUSENTE",IF(COUNTIF('Configurações'!$A$11:$A$20,$E90)=0,"CANAL NÃO CONFIGURADO",IF(IFERROR(VLOOKUP($E90,'Configurações'!$A$11:$F$20,6,FALSE),"")&lt;&gt;"OK","CANAL COM PENDÊNCIA",IF(COUNTIFS($B$6:$B$305,$B90,$E$6:$E$305,$E90)&gt;1,"SKU/CANAL DUPLICADO",IF(IFERROR(OR(NOT(ISNUMBER($F90)),$F90&lt;0,MOD($F90,1)&lt;&gt;0),TRUE),"SALDO PUBLICADO INVÁLIDO",IF(IFERROR(OR(NOT(ISNUMBER($G90)),$G90&lt;0,MOD($G90,1)&lt;&gt;0),TRUE),"PEDIDOS PENDENTES INVÁLIDOS",IF(IFERROR(OR(NOT(ISNUMBER($R90)),$R90&gt;'Configurações'!$B$5),TRUE),"DATA INVÁLIDA","OK")))))))))))))</f>
        <v/>
      </c>
    </row>
    <row r="91">
      <c r="A91" s="21" t="n"/>
      <c r="B91" s="21" t="n"/>
      <c r="C91" s="27">
        <f>IFERROR(VLOOKUP($B91,'Estoque Central'!$A$6:$M$205,2,FALSE),"")</f>
        <v/>
      </c>
      <c r="D91" s="25">
        <f>IFERROR(VLOOKUP($B91,'Estoque Central'!$A$6:$M$205,3,FALSE),"")</f>
        <v/>
      </c>
      <c r="E91" s="21" t="n"/>
      <c r="F91" s="22" t="n"/>
      <c r="G91" s="22" t="n"/>
      <c r="H91" s="25">
        <f>IFERROR(VLOOKUP($E91,'Configurações'!$A$11:$F$20,2,FALSE),"")</f>
        <v/>
      </c>
      <c r="I91" s="28">
        <f>IFERROR(VLOOKUP($E91,'Configurações'!$A$11:$F$20,3,FALSE),"")</f>
        <v/>
      </c>
      <c r="J91" s="24">
        <f>IFERROR(VLOOKUP($E91,'Configurações'!$A$11:$F$20,4,FALSE),"")</f>
        <v/>
      </c>
      <c r="K91" s="24">
        <f>IFERROR(VLOOKUP($E91,'Configurações'!$A$11:$F$20,5,FALSE),"")</f>
        <v/>
      </c>
      <c r="L91" s="24">
        <f>IFERROR(VLOOKUP($B91,'Estoque Central'!$A$6:$M$205,9,FALSE),"")</f>
        <v/>
      </c>
      <c r="M91" s="24">
        <f>IF(COUNTA($A91:$B91,$E91:$G91,$R91)=0,"",IFERROR(IF(OR($C91="",$H91=""),"",IF(OR($D91&lt;&gt;"Ativo",$H91&lt;&gt;"Sim"),0,MIN(IF($J91="",$L91,$J91),ROUNDDOWN($L91*$I91,0)))),""))</f>
        <v/>
      </c>
      <c r="N91" s="24">
        <f>IF(OR($M91="",NOT(ISNUMBER($F91))),"",$M91-$F91)</f>
        <v/>
      </c>
      <c r="O91" s="25">
        <f>IF(COUNTA($A91:$B91,$E91:$G91,$R91)=0,"",IF($S91&lt;&gt;"OK","REVISAR CADASTRO",IF($N91&gt;0,"AUMENTAR",IF($N91&lt;0,"REDUZIR","SEM AÇÃO"))))</f>
        <v/>
      </c>
      <c r="P91" s="25">
        <f>IF(COUNTA($A91:$B91,$E91:$G91,$R91)=0,"",IF($S91&lt;&gt;"OK","REVISAR",IF(OR($D91&lt;&gt;"Ativo",$H91&lt;&gt;"Sim"),IF($F91&gt;0,"ALTO","SEM EXPOSIÇÃO"),IF(OR($F91&gt;$M91,SUMIFS($F$6:$F$305,$B$6:$B$305,$B91,$S$6:$S$305,"OK")&gt;$L91),"ALTO",IF(AND($F91&gt;0,$L91&lt;=$K91),"MÉDIO","BAIXO")))))</f>
        <v/>
      </c>
      <c r="Q91" s="25">
        <f>IF(COUNTA($A91:$B91,$E91:$G91,$R91)=0,"",IF($S91&lt;&gt;"OK","REVISAR",IF($O91="SEM AÇÃO","BAIXA",IF(OR($P91="ALTO",ABS($N91)&gt;='Configurações'!$B$3),"URGENTE",IF(OR($P91="MÉDIO",'Configurações'!$B$5-$R91&gt;'Configurações'!$B$4),"ALTA","NORMAL")))))</f>
        <v/>
      </c>
      <c r="R91" s="23" t="n"/>
      <c r="S91" s="25">
        <f>IF(COUNTA($A91:$B91,$E91:$G91,$R91)=0,"",IF($A91="","ID AUSENTE",IF(COUNTIF($A$6:$A$305,$A91)&gt;1,"ID DUPLICADO",IF($B91="","SKU AUSENTE",IF(COUNTIF('Estoque Central'!$A$6:$A$205,$B91)=0,"SKU NÃO CADASTRADO",IF(IFERROR(VLOOKUP($B91,'Estoque Central'!$A$6:$M$205,13,FALSE),"")&lt;&gt;"OK","ESTOQUE CENTRAL COM PENDÊNCIA",IF($E91="","CANAL AUSENTE",IF(COUNTIF('Configurações'!$A$11:$A$20,$E91)=0,"CANAL NÃO CONFIGURADO",IF(IFERROR(VLOOKUP($E91,'Configurações'!$A$11:$F$20,6,FALSE),"")&lt;&gt;"OK","CANAL COM PENDÊNCIA",IF(COUNTIFS($B$6:$B$305,$B91,$E$6:$E$305,$E91)&gt;1,"SKU/CANAL DUPLICADO",IF(IFERROR(OR(NOT(ISNUMBER($F91)),$F91&lt;0,MOD($F91,1)&lt;&gt;0),TRUE),"SALDO PUBLICADO INVÁLIDO",IF(IFERROR(OR(NOT(ISNUMBER($G91)),$G91&lt;0,MOD($G91,1)&lt;&gt;0),TRUE),"PEDIDOS PENDENTES INVÁLIDOS",IF(IFERROR(OR(NOT(ISNUMBER($R91)),$R91&gt;'Configurações'!$B$5),TRUE),"DATA INVÁLIDA","OK")))))))))))))</f>
        <v/>
      </c>
    </row>
    <row r="92">
      <c r="A92" s="21" t="n"/>
      <c r="B92" s="21" t="n"/>
      <c r="C92" s="27">
        <f>IFERROR(VLOOKUP($B92,'Estoque Central'!$A$6:$M$205,2,FALSE),"")</f>
        <v/>
      </c>
      <c r="D92" s="25">
        <f>IFERROR(VLOOKUP($B92,'Estoque Central'!$A$6:$M$205,3,FALSE),"")</f>
        <v/>
      </c>
      <c r="E92" s="21" t="n"/>
      <c r="F92" s="22" t="n"/>
      <c r="G92" s="22" t="n"/>
      <c r="H92" s="25">
        <f>IFERROR(VLOOKUP($E92,'Configurações'!$A$11:$F$20,2,FALSE),"")</f>
        <v/>
      </c>
      <c r="I92" s="28">
        <f>IFERROR(VLOOKUP($E92,'Configurações'!$A$11:$F$20,3,FALSE),"")</f>
        <v/>
      </c>
      <c r="J92" s="24">
        <f>IFERROR(VLOOKUP($E92,'Configurações'!$A$11:$F$20,4,FALSE),"")</f>
        <v/>
      </c>
      <c r="K92" s="24">
        <f>IFERROR(VLOOKUP($E92,'Configurações'!$A$11:$F$20,5,FALSE),"")</f>
        <v/>
      </c>
      <c r="L92" s="24">
        <f>IFERROR(VLOOKUP($B92,'Estoque Central'!$A$6:$M$205,9,FALSE),"")</f>
        <v/>
      </c>
      <c r="M92" s="24">
        <f>IF(COUNTA($A92:$B92,$E92:$G92,$R92)=0,"",IFERROR(IF(OR($C92="",$H92=""),"",IF(OR($D92&lt;&gt;"Ativo",$H92&lt;&gt;"Sim"),0,MIN(IF($J92="",$L92,$J92),ROUNDDOWN($L92*$I92,0)))),""))</f>
        <v/>
      </c>
      <c r="N92" s="24">
        <f>IF(OR($M92="",NOT(ISNUMBER($F92))),"",$M92-$F92)</f>
        <v/>
      </c>
      <c r="O92" s="25">
        <f>IF(COUNTA($A92:$B92,$E92:$G92,$R92)=0,"",IF($S92&lt;&gt;"OK","REVISAR CADASTRO",IF($N92&gt;0,"AUMENTAR",IF($N92&lt;0,"REDUZIR","SEM AÇÃO"))))</f>
        <v/>
      </c>
      <c r="P92" s="25">
        <f>IF(COUNTA($A92:$B92,$E92:$G92,$R92)=0,"",IF($S92&lt;&gt;"OK","REVISAR",IF(OR($D92&lt;&gt;"Ativo",$H92&lt;&gt;"Sim"),IF($F92&gt;0,"ALTO","SEM EXPOSIÇÃO"),IF(OR($F92&gt;$M92,SUMIFS($F$6:$F$305,$B$6:$B$305,$B92,$S$6:$S$305,"OK")&gt;$L92),"ALTO",IF(AND($F92&gt;0,$L92&lt;=$K92),"MÉDIO","BAIXO")))))</f>
        <v/>
      </c>
      <c r="Q92" s="25">
        <f>IF(COUNTA($A92:$B92,$E92:$G92,$R92)=0,"",IF($S92&lt;&gt;"OK","REVISAR",IF($O92="SEM AÇÃO","BAIXA",IF(OR($P92="ALTO",ABS($N92)&gt;='Configurações'!$B$3),"URGENTE",IF(OR($P92="MÉDIO",'Configurações'!$B$5-$R92&gt;'Configurações'!$B$4),"ALTA","NORMAL")))))</f>
        <v/>
      </c>
      <c r="R92" s="23" t="n"/>
      <c r="S92" s="25">
        <f>IF(COUNTA($A92:$B92,$E92:$G92,$R92)=0,"",IF($A92="","ID AUSENTE",IF(COUNTIF($A$6:$A$305,$A92)&gt;1,"ID DUPLICADO",IF($B92="","SKU AUSENTE",IF(COUNTIF('Estoque Central'!$A$6:$A$205,$B92)=0,"SKU NÃO CADASTRADO",IF(IFERROR(VLOOKUP($B92,'Estoque Central'!$A$6:$M$205,13,FALSE),"")&lt;&gt;"OK","ESTOQUE CENTRAL COM PENDÊNCIA",IF($E92="","CANAL AUSENTE",IF(COUNTIF('Configurações'!$A$11:$A$20,$E92)=0,"CANAL NÃO CONFIGURADO",IF(IFERROR(VLOOKUP($E92,'Configurações'!$A$11:$F$20,6,FALSE),"")&lt;&gt;"OK","CANAL COM PENDÊNCIA",IF(COUNTIFS($B$6:$B$305,$B92,$E$6:$E$305,$E92)&gt;1,"SKU/CANAL DUPLICADO",IF(IFERROR(OR(NOT(ISNUMBER($F92)),$F92&lt;0,MOD($F92,1)&lt;&gt;0),TRUE),"SALDO PUBLICADO INVÁLIDO",IF(IFERROR(OR(NOT(ISNUMBER($G92)),$G92&lt;0,MOD($G92,1)&lt;&gt;0),TRUE),"PEDIDOS PENDENTES INVÁLIDOS",IF(IFERROR(OR(NOT(ISNUMBER($R92)),$R92&gt;'Configurações'!$B$5),TRUE),"DATA INVÁLIDA","OK")))))))))))))</f>
        <v/>
      </c>
    </row>
    <row r="93">
      <c r="A93" s="21" t="n"/>
      <c r="B93" s="21" t="n"/>
      <c r="C93" s="27">
        <f>IFERROR(VLOOKUP($B93,'Estoque Central'!$A$6:$M$205,2,FALSE),"")</f>
        <v/>
      </c>
      <c r="D93" s="25">
        <f>IFERROR(VLOOKUP($B93,'Estoque Central'!$A$6:$M$205,3,FALSE),"")</f>
        <v/>
      </c>
      <c r="E93" s="21" t="n"/>
      <c r="F93" s="22" t="n"/>
      <c r="G93" s="22" t="n"/>
      <c r="H93" s="25">
        <f>IFERROR(VLOOKUP($E93,'Configurações'!$A$11:$F$20,2,FALSE),"")</f>
        <v/>
      </c>
      <c r="I93" s="28">
        <f>IFERROR(VLOOKUP($E93,'Configurações'!$A$11:$F$20,3,FALSE),"")</f>
        <v/>
      </c>
      <c r="J93" s="24">
        <f>IFERROR(VLOOKUP($E93,'Configurações'!$A$11:$F$20,4,FALSE),"")</f>
        <v/>
      </c>
      <c r="K93" s="24">
        <f>IFERROR(VLOOKUP($E93,'Configurações'!$A$11:$F$20,5,FALSE),"")</f>
        <v/>
      </c>
      <c r="L93" s="24">
        <f>IFERROR(VLOOKUP($B93,'Estoque Central'!$A$6:$M$205,9,FALSE),"")</f>
        <v/>
      </c>
      <c r="M93" s="24">
        <f>IF(COUNTA($A93:$B93,$E93:$G93,$R93)=0,"",IFERROR(IF(OR($C93="",$H93=""),"",IF(OR($D93&lt;&gt;"Ativo",$H93&lt;&gt;"Sim"),0,MIN(IF($J93="",$L93,$J93),ROUNDDOWN($L93*$I93,0)))),""))</f>
        <v/>
      </c>
      <c r="N93" s="24">
        <f>IF(OR($M93="",NOT(ISNUMBER($F93))),"",$M93-$F93)</f>
        <v/>
      </c>
      <c r="O93" s="25">
        <f>IF(COUNTA($A93:$B93,$E93:$G93,$R93)=0,"",IF($S93&lt;&gt;"OK","REVISAR CADASTRO",IF($N93&gt;0,"AUMENTAR",IF($N93&lt;0,"REDUZIR","SEM AÇÃO"))))</f>
        <v/>
      </c>
      <c r="P93" s="25">
        <f>IF(COUNTA($A93:$B93,$E93:$G93,$R93)=0,"",IF($S93&lt;&gt;"OK","REVISAR",IF(OR($D93&lt;&gt;"Ativo",$H93&lt;&gt;"Sim"),IF($F93&gt;0,"ALTO","SEM EXPOSIÇÃO"),IF(OR($F93&gt;$M93,SUMIFS($F$6:$F$305,$B$6:$B$305,$B93,$S$6:$S$305,"OK")&gt;$L93),"ALTO",IF(AND($F93&gt;0,$L93&lt;=$K93),"MÉDIO","BAIXO")))))</f>
        <v/>
      </c>
      <c r="Q93" s="25">
        <f>IF(COUNTA($A93:$B93,$E93:$G93,$R93)=0,"",IF($S93&lt;&gt;"OK","REVISAR",IF($O93="SEM AÇÃO","BAIXA",IF(OR($P93="ALTO",ABS($N93)&gt;='Configurações'!$B$3),"URGENTE",IF(OR($P93="MÉDIO",'Configurações'!$B$5-$R93&gt;'Configurações'!$B$4),"ALTA","NORMAL")))))</f>
        <v/>
      </c>
      <c r="R93" s="23" t="n"/>
      <c r="S93" s="25">
        <f>IF(COUNTA($A93:$B93,$E93:$G93,$R93)=0,"",IF($A93="","ID AUSENTE",IF(COUNTIF($A$6:$A$305,$A93)&gt;1,"ID DUPLICADO",IF($B93="","SKU AUSENTE",IF(COUNTIF('Estoque Central'!$A$6:$A$205,$B93)=0,"SKU NÃO CADASTRADO",IF(IFERROR(VLOOKUP($B93,'Estoque Central'!$A$6:$M$205,13,FALSE),"")&lt;&gt;"OK","ESTOQUE CENTRAL COM PENDÊNCIA",IF($E93="","CANAL AUSENTE",IF(COUNTIF('Configurações'!$A$11:$A$20,$E93)=0,"CANAL NÃO CONFIGURADO",IF(IFERROR(VLOOKUP($E93,'Configurações'!$A$11:$F$20,6,FALSE),"")&lt;&gt;"OK","CANAL COM PENDÊNCIA",IF(COUNTIFS($B$6:$B$305,$B93,$E$6:$E$305,$E93)&gt;1,"SKU/CANAL DUPLICADO",IF(IFERROR(OR(NOT(ISNUMBER($F93)),$F93&lt;0,MOD($F93,1)&lt;&gt;0),TRUE),"SALDO PUBLICADO INVÁLIDO",IF(IFERROR(OR(NOT(ISNUMBER($G93)),$G93&lt;0,MOD($G93,1)&lt;&gt;0),TRUE),"PEDIDOS PENDENTES INVÁLIDOS",IF(IFERROR(OR(NOT(ISNUMBER($R93)),$R93&gt;'Configurações'!$B$5),TRUE),"DATA INVÁLIDA","OK")))))))))))))</f>
        <v/>
      </c>
    </row>
    <row r="94">
      <c r="A94" s="21" t="n"/>
      <c r="B94" s="21" t="n"/>
      <c r="C94" s="27">
        <f>IFERROR(VLOOKUP($B94,'Estoque Central'!$A$6:$M$205,2,FALSE),"")</f>
        <v/>
      </c>
      <c r="D94" s="25">
        <f>IFERROR(VLOOKUP($B94,'Estoque Central'!$A$6:$M$205,3,FALSE),"")</f>
        <v/>
      </c>
      <c r="E94" s="21" t="n"/>
      <c r="F94" s="22" t="n"/>
      <c r="G94" s="22" t="n"/>
      <c r="H94" s="25">
        <f>IFERROR(VLOOKUP($E94,'Configurações'!$A$11:$F$20,2,FALSE),"")</f>
        <v/>
      </c>
      <c r="I94" s="28">
        <f>IFERROR(VLOOKUP($E94,'Configurações'!$A$11:$F$20,3,FALSE),"")</f>
        <v/>
      </c>
      <c r="J94" s="24">
        <f>IFERROR(VLOOKUP($E94,'Configurações'!$A$11:$F$20,4,FALSE),"")</f>
        <v/>
      </c>
      <c r="K94" s="24">
        <f>IFERROR(VLOOKUP($E94,'Configurações'!$A$11:$F$20,5,FALSE),"")</f>
        <v/>
      </c>
      <c r="L94" s="24">
        <f>IFERROR(VLOOKUP($B94,'Estoque Central'!$A$6:$M$205,9,FALSE),"")</f>
        <v/>
      </c>
      <c r="M94" s="24">
        <f>IF(COUNTA($A94:$B94,$E94:$G94,$R94)=0,"",IFERROR(IF(OR($C94="",$H94=""),"",IF(OR($D94&lt;&gt;"Ativo",$H94&lt;&gt;"Sim"),0,MIN(IF($J94="",$L94,$J94),ROUNDDOWN($L94*$I94,0)))),""))</f>
        <v/>
      </c>
      <c r="N94" s="24">
        <f>IF(OR($M94="",NOT(ISNUMBER($F94))),"",$M94-$F94)</f>
        <v/>
      </c>
      <c r="O94" s="25">
        <f>IF(COUNTA($A94:$B94,$E94:$G94,$R94)=0,"",IF($S94&lt;&gt;"OK","REVISAR CADASTRO",IF($N94&gt;0,"AUMENTAR",IF($N94&lt;0,"REDUZIR","SEM AÇÃO"))))</f>
        <v/>
      </c>
      <c r="P94" s="25">
        <f>IF(COUNTA($A94:$B94,$E94:$G94,$R94)=0,"",IF($S94&lt;&gt;"OK","REVISAR",IF(OR($D94&lt;&gt;"Ativo",$H94&lt;&gt;"Sim"),IF($F94&gt;0,"ALTO","SEM EXPOSIÇÃO"),IF(OR($F94&gt;$M94,SUMIFS($F$6:$F$305,$B$6:$B$305,$B94,$S$6:$S$305,"OK")&gt;$L94),"ALTO",IF(AND($F94&gt;0,$L94&lt;=$K94),"MÉDIO","BAIXO")))))</f>
        <v/>
      </c>
      <c r="Q94" s="25">
        <f>IF(COUNTA($A94:$B94,$E94:$G94,$R94)=0,"",IF($S94&lt;&gt;"OK","REVISAR",IF($O94="SEM AÇÃO","BAIXA",IF(OR($P94="ALTO",ABS($N94)&gt;='Configurações'!$B$3),"URGENTE",IF(OR($P94="MÉDIO",'Configurações'!$B$5-$R94&gt;'Configurações'!$B$4),"ALTA","NORMAL")))))</f>
        <v/>
      </c>
      <c r="R94" s="23" t="n"/>
      <c r="S94" s="25">
        <f>IF(COUNTA($A94:$B94,$E94:$G94,$R94)=0,"",IF($A94="","ID AUSENTE",IF(COUNTIF($A$6:$A$305,$A94)&gt;1,"ID DUPLICADO",IF($B94="","SKU AUSENTE",IF(COUNTIF('Estoque Central'!$A$6:$A$205,$B94)=0,"SKU NÃO CADASTRADO",IF(IFERROR(VLOOKUP($B94,'Estoque Central'!$A$6:$M$205,13,FALSE),"")&lt;&gt;"OK","ESTOQUE CENTRAL COM PENDÊNCIA",IF($E94="","CANAL AUSENTE",IF(COUNTIF('Configurações'!$A$11:$A$20,$E94)=0,"CANAL NÃO CONFIGURADO",IF(IFERROR(VLOOKUP($E94,'Configurações'!$A$11:$F$20,6,FALSE),"")&lt;&gt;"OK","CANAL COM PENDÊNCIA",IF(COUNTIFS($B$6:$B$305,$B94,$E$6:$E$305,$E94)&gt;1,"SKU/CANAL DUPLICADO",IF(IFERROR(OR(NOT(ISNUMBER($F94)),$F94&lt;0,MOD($F94,1)&lt;&gt;0),TRUE),"SALDO PUBLICADO INVÁLIDO",IF(IFERROR(OR(NOT(ISNUMBER($G94)),$G94&lt;0,MOD($G94,1)&lt;&gt;0),TRUE),"PEDIDOS PENDENTES INVÁLIDOS",IF(IFERROR(OR(NOT(ISNUMBER($R94)),$R94&gt;'Configurações'!$B$5),TRUE),"DATA INVÁLIDA","OK")))))))))))))</f>
        <v/>
      </c>
    </row>
    <row r="95">
      <c r="A95" s="21" t="n"/>
      <c r="B95" s="21" t="n"/>
      <c r="C95" s="27">
        <f>IFERROR(VLOOKUP($B95,'Estoque Central'!$A$6:$M$205,2,FALSE),"")</f>
        <v/>
      </c>
      <c r="D95" s="25">
        <f>IFERROR(VLOOKUP($B95,'Estoque Central'!$A$6:$M$205,3,FALSE),"")</f>
        <v/>
      </c>
      <c r="E95" s="21" t="n"/>
      <c r="F95" s="22" t="n"/>
      <c r="G95" s="22" t="n"/>
      <c r="H95" s="25">
        <f>IFERROR(VLOOKUP($E95,'Configurações'!$A$11:$F$20,2,FALSE),"")</f>
        <v/>
      </c>
      <c r="I95" s="28">
        <f>IFERROR(VLOOKUP($E95,'Configurações'!$A$11:$F$20,3,FALSE),"")</f>
        <v/>
      </c>
      <c r="J95" s="24">
        <f>IFERROR(VLOOKUP($E95,'Configurações'!$A$11:$F$20,4,FALSE),"")</f>
        <v/>
      </c>
      <c r="K95" s="24">
        <f>IFERROR(VLOOKUP($E95,'Configurações'!$A$11:$F$20,5,FALSE),"")</f>
        <v/>
      </c>
      <c r="L95" s="24">
        <f>IFERROR(VLOOKUP($B95,'Estoque Central'!$A$6:$M$205,9,FALSE),"")</f>
        <v/>
      </c>
      <c r="M95" s="24">
        <f>IF(COUNTA($A95:$B95,$E95:$G95,$R95)=0,"",IFERROR(IF(OR($C95="",$H95=""),"",IF(OR($D95&lt;&gt;"Ativo",$H95&lt;&gt;"Sim"),0,MIN(IF($J95="",$L95,$J95),ROUNDDOWN($L95*$I95,0)))),""))</f>
        <v/>
      </c>
      <c r="N95" s="24">
        <f>IF(OR($M95="",NOT(ISNUMBER($F95))),"",$M95-$F95)</f>
        <v/>
      </c>
      <c r="O95" s="25">
        <f>IF(COUNTA($A95:$B95,$E95:$G95,$R95)=0,"",IF($S95&lt;&gt;"OK","REVISAR CADASTRO",IF($N95&gt;0,"AUMENTAR",IF($N95&lt;0,"REDUZIR","SEM AÇÃO"))))</f>
        <v/>
      </c>
      <c r="P95" s="25">
        <f>IF(COUNTA($A95:$B95,$E95:$G95,$R95)=0,"",IF($S95&lt;&gt;"OK","REVISAR",IF(OR($D95&lt;&gt;"Ativo",$H95&lt;&gt;"Sim"),IF($F95&gt;0,"ALTO","SEM EXPOSIÇÃO"),IF(OR($F95&gt;$M95,SUMIFS($F$6:$F$305,$B$6:$B$305,$B95,$S$6:$S$305,"OK")&gt;$L95),"ALTO",IF(AND($F95&gt;0,$L95&lt;=$K95),"MÉDIO","BAIXO")))))</f>
        <v/>
      </c>
      <c r="Q95" s="25">
        <f>IF(COUNTA($A95:$B95,$E95:$G95,$R95)=0,"",IF($S95&lt;&gt;"OK","REVISAR",IF($O95="SEM AÇÃO","BAIXA",IF(OR($P95="ALTO",ABS($N95)&gt;='Configurações'!$B$3),"URGENTE",IF(OR($P95="MÉDIO",'Configurações'!$B$5-$R95&gt;'Configurações'!$B$4),"ALTA","NORMAL")))))</f>
        <v/>
      </c>
      <c r="R95" s="23" t="n"/>
      <c r="S95" s="25">
        <f>IF(COUNTA($A95:$B95,$E95:$G95,$R95)=0,"",IF($A95="","ID AUSENTE",IF(COUNTIF($A$6:$A$305,$A95)&gt;1,"ID DUPLICADO",IF($B95="","SKU AUSENTE",IF(COUNTIF('Estoque Central'!$A$6:$A$205,$B95)=0,"SKU NÃO CADASTRADO",IF(IFERROR(VLOOKUP($B95,'Estoque Central'!$A$6:$M$205,13,FALSE),"")&lt;&gt;"OK","ESTOQUE CENTRAL COM PENDÊNCIA",IF($E95="","CANAL AUSENTE",IF(COUNTIF('Configurações'!$A$11:$A$20,$E95)=0,"CANAL NÃO CONFIGURADO",IF(IFERROR(VLOOKUP($E95,'Configurações'!$A$11:$F$20,6,FALSE),"")&lt;&gt;"OK","CANAL COM PENDÊNCIA",IF(COUNTIFS($B$6:$B$305,$B95,$E$6:$E$305,$E95)&gt;1,"SKU/CANAL DUPLICADO",IF(IFERROR(OR(NOT(ISNUMBER($F95)),$F95&lt;0,MOD($F95,1)&lt;&gt;0),TRUE),"SALDO PUBLICADO INVÁLIDO",IF(IFERROR(OR(NOT(ISNUMBER($G95)),$G95&lt;0,MOD($G95,1)&lt;&gt;0),TRUE),"PEDIDOS PENDENTES INVÁLIDOS",IF(IFERROR(OR(NOT(ISNUMBER($R95)),$R95&gt;'Configurações'!$B$5),TRUE),"DATA INVÁLIDA","OK")))))))))))))</f>
        <v/>
      </c>
    </row>
    <row r="96">
      <c r="A96" s="21" t="n"/>
      <c r="B96" s="21" t="n"/>
      <c r="C96" s="27">
        <f>IFERROR(VLOOKUP($B96,'Estoque Central'!$A$6:$M$205,2,FALSE),"")</f>
        <v/>
      </c>
      <c r="D96" s="25">
        <f>IFERROR(VLOOKUP($B96,'Estoque Central'!$A$6:$M$205,3,FALSE),"")</f>
        <v/>
      </c>
      <c r="E96" s="21" t="n"/>
      <c r="F96" s="22" t="n"/>
      <c r="G96" s="22" t="n"/>
      <c r="H96" s="25">
        <f>IFERROR(VLOOKUP($E96,'Configurações'!$A$11:$F$20,2,FALSE),"")</f>
        <v/>
      </c>
      <c r="I96" s="28">
        <f>IFERROR(VLOOKUP($E96,'Configurações'!$A$11:$F$20,3,FALSE),"")</f>
        <v/>
      </c>
      <c r="J96" s="24">
        <f>IFERROR(VLOOKUP($E96,'Configurações'!$A$11:$F$20,4,FALSE),"")</f>
        <v/>
      </c>
      <c r="K96" s="24">
        <f>IFERROR(VLOOKUP($E96,'Configurações'!$A$11:$F$20,5,FALSE),"")</f>
        <v/>
      </c>
      <c r="L96" s="24">
        <f>IFERROR(VLOOKUP($B96,'Estoque Central'!$A$6:$M$205,9,FALSE),"")</f>
        <v/>
      </c>
      <c r="M96" s="24">
        <f>IF(COUNTA($A96:$B96,$E96:$G96,$R96)=0,"",IFERROR(IF(OR($C96="",$H96=""),"",IF(OR($D96&lt;&gt;"Ativo",$H96&lt;&gt;"Sim"),0,MIN(IF($J96="",$L96,$J96),ROUNDDOWN($L96*$I96,0)))),""))</f>
        <v/>
      </c>
      <c r="N96" s="24">
        <f>IF(OR($M96="",NOT(ISNUMBER($F96))),"",$M96-$F96)</f>
        <v/>
      </c>
      <c r="O96" s="25">
        <f>IF(COUNTA($A96:$B96,$E96:$G96,$R96)=0,"",IF($S96&lt;&gt;"OK","REVISAR CADASTRO",IF($N96&gt;0,"AUMENTAR",IF($N96&lt;0,"REDUZIR","SEM AÇÃO"))))</f>
        <v/>
      </c>
      <c r="P96" s="25">
        <f>IF(COUNTA($A96:$B96,$E96:$G96,$R96)=0,"",IF($S96&lt;&gt;"OK","REVISAR",IF(OR($D96&lt;&gt;"Ativo",$H96&lt;&gt;"Sim"),IF($F96&gt;0,"ALTO","SEM EXPOSIÇÃO"),IF(OR($F96&gt;$M96,SUMIFS($F$6:$F$305,$B$6:$B$305,$B96,$S$6:$S$305,"OK")&gt;$L96),"ALTO",IF(AND($F96&gt;0,$L96&lt;=$K96),"MÉDIO","BAIXO")))))</f>
        <v/>
      </c>
      <c r="Q96" s="25">
        <f>IF(COUNTA($A96:$B96,$E96:$G96,$R96)=0,"",IF($S96&lt;&gt;"OK","REVISAR",IF($O96="SEM AÇÃO","BAIXA",IF(OR($P96="ALTO",ABS($N96)&gt;='Configurações'!$B$3),"URGENTE",IF(OR($P96="MÉDIO",'Configurações'!$B$5-$R96&gt;'Configurações'!$B$4),"ALTA","NORMAL")))))</f>
        <v/>
      </c>
      <c r="R96" s="23" t="n"/>
      <c r="S96" s="25">
        <f>IF(COUNTA($A96:$B96,$E96:$G96,$R96)=0,"",IF($A96="","ID AUSENTE",IF(COUNTIF($A$6:$A$305,$A96)&gt;1,"ID DUPLICADO",IF($B96="","SKU AUSENTE",IF(COUNTIF('Estoque Central'!$A$6:$A$205,$B96)=0,"SKU NÃO CADASTRADO",IF(IFERROR(VLOOKUP($B96,'Estoque Central'!$A$6:$M$205,13,FALSE),"")&lt;&gt;"OK","ESTOQUE CENTRAL COM PENDÊNCIA",IF($E96="","CANAL AUSENTE",IF(COUNTIF('Configurações'!$A$11:$A$20,$E96)=0,"CANAL NÃO CONFIGURADO",IF(IFERROR(VLOOKUP($E96,'Configurações'!$A$11:$F$20,6,FALSE),"")&lt;&gt;"OK","CANAL COM PENDÊNCIA",IF(COUNTIFS($B$6:$B$305,$B96,$E$6:$E$305,$E96)&gt;1,"SKU/CANAL DUPLICADO",IF(IFERROR(OR(NOT(ISNUMBER($F96)),$F96&lt;0,MOD($F96,1)&lt;&gt;0),TRUE),"SALDO PUBLICADO INVÁLIDO",IF(IFERROR(OR(NOT(ISNUMBER($G96)),$G96&lt;0,MOD($G96,1)&lt;&gt;0),TRUE),"PEDIDOS PENDENTES INVÁLIDOS",IF(IFERROR(OR(NOT(ISNUMBER($R96)),$R96&gt;'Configurações'!$B$5),TRUE),"DATA INVÁLIDA","OK")))))))))))))</f>
        <v/>
      </c>
    </row>
    <row r="97">
      <c r="A97" s="21" t="n"/>
      <c r="B97" s="21" t="n"/>
      <c r="C97" s="27">
        <f>IFERROR(VLOOKUP($B97,'Estoque Central'!$A$6:$M$205,2,FALSE),"")</f>
        <v/>
      </c>
      <c r="D97" s="25">
        <f>IFERROR(VLOOKUP($B97,'Estoque Central'!$A$6:$M$205,3,FALSE),"")</f>
        <v/>
      </c>
      <c r="E97" s="21" t="n"/>
      <c r="F97" s="22" t="n"/>
      <c r="G97" s="22" t="n"/>
      <c r="H97" s="25">
        <f>IFERROR(VLOOKUP($E97,'Configurações'!$A$11:$F$20,2,FALSE),"")</f>
        <v/>
      </c>
      <c r="I97" s="28">
        <f>IFERROR(VLOOKUP($E97,'Configurações'!$A$11:$F$20,3,FALSE),"")</f>
        <v/>
      </c>
      <c r="J97" s="24">
        <f>IFERROR(VLOOKUP($E97,'Configurações'!$A$11:$F$20,4,FALSE),"")</f>
        <v/>
      </c>
      <c r="K97" s="24">
        <f>IFERROR(VLOOKUP($E97,'Configurações'!$A$11:$F$20,5,FALSE),"")</f>
        <v/>
      </c>
      <c r="L97" s="24">
        <f>IFERROR(VLOOKUP($B97,'Estoque Central'!$A$6:$M$205,9,FALSE),"")</f>
        <v/>
      </c>
      <c r="M97" s="24">
        <f>IF(COUNTA($A97:$B97,$E97:$G97,$R97)=0,"",IFERROR(IF(OR($C97="",$H97=""),"",IF(OR($D97&lt;&gt;"Ativo",$H97&lt;&gt;"Sim"),0,MIN(IF($J97="",$L97,$J97),ROUNDDOWN($L97*$I97,0)))),""))</f>
        <v/>
      </c>
      <c r="N97" s="24">
        <f>IF(OR($M97="",NOT(ISNUMBER($F97))),"",$M97-$F97)</f>
        <v/>
      </c>
      <c r="O97" s="25">
        <f>IF(COUNTA($A97:$B97,$E97:$G97,$R97)=0,"",IF($S97&lt;&gt;"OK","REVISAR CADASTRO",IF($N97&gt;0,"AUMENTAR",IF($N97&lt;0,"REDUZIR","SEM AÇÃO"))))</f>
        <v/>
      </c>
      <c r="P97" s="25">
        <f>IF(COUNTA($A97:$B97,$E97:$G97,$R97)=0,"",IF($S97&lt;&gt;"OK","REVISAR",IF(OR($D97&lt;&gt;"Ativo",$H97&lt;&gt;"Sim"),IF($F97&gt;0,"ALTO","SEM EXPOSIÇÃO"),IF(OR($F97&gt;$M97,SUMIFS($F$6:$F$305,$B$6:$B$305,$B97,$S$6:$S$305,"OK")&gt;$L97),"ALTO",IF(AND($F97&gt;0,$L97&lt;=$K97),"MÉDIO","BAIXO")))))</f>
        <v/>
      </c>
      <c r="Q97" s="25">
        <f>IF(COUNTA($A97:$B97,$E97:$G97,$R97)=0,"",IF($S97&lt;&gt;"OK","REVISAR",IF($O97="SEM AÇÃO","BAIXA",IF(OR($P97="ALTO",ABS($N97)&gt;='Configurações'!$B$3),"URGENTE",IF(OR($P97="MÉDIO",'Configurações'!$B$5-$R97&gt;'Configurações'!$B$4),"ALTA","NORMAL")))))</f>
        <v/>
      </c>
      <c r="R97" s="23" t="n"/>
      <c r="S97" s="25">
        <f>IF(COUNTA($A97:$B97,$E97:$G97,$R97)=0,"",IF($A97="","ID AUSENTE",IF(COUNTIF($A$6:$A$305,$A97)&gt;1,"ID DUPLICADO",IF($B97="","SKU AUSENTE",IF(COUNTIF('Estoque Central'!$A$6:$A$205,$B97)=0,"SKU NÃO CADASTRADO",IF(IFERROR(VLOOKUP($B97,'Estoque Central'!$A$6:$M$205,13,FALSE),"")&lt;&gt;"OK","ESTOQUE CENTRAL COM PENDÊNCIA",IF($E97="","CANAL AUSENTE",IF(COUNTIF('Configurações'!$A$11:$A$20,$E97)=0,"CANAL NÃO CONFIGURADO",IF(IFERROR(VLOOKUP($E97,'Configurações'!$A$11:$F$20,6,FALSE),"")&lt;&gt;"OK","CANAL COM PENDÊNCIA",IF(COUNTIFS($B$6:$B$305,$B97,$E$6:$E$305,$E97)&gt;1,"SKU/CANAL DUPLICADO",IF(IFERROR(OR(NOT(ISNUMBER($F97)),$F97&lt;0,MOD($F97,1)&lt;&gt;0),TRUE),"SALDO PUBLICADO INVÁLIDO",IF(IFERROR(OR(NOT(ISNUMBER($G97)),$G97&lt;0,MOD($G97,1)&lt;&gt;0),TRUE),"PEDIDOS PENDENTES INVÁLIDOS",IF(IFERROR(OR(NOT(ISNUMBER($R97)),$R97&gt;'Configurações'!$B$5),TRUE),"DATA INVÁLIDA","OK")))))))))))))</f>
        <v/>
      </c>
    </row>
    <row r="98">
      <c r="A98" s="21" t="n"/>
      <c r="B98" s="21" t="n"/>
      <c r="C98" s="27">
        <f>IFERROR(VLOOKUP($B98,'Estoque Central'!$A$6:$M$205,2,FALSE),"")</f>
        <v/>
      </c>
      <c r="D98" s="25">
        <f>IFERROR(VLOOKUP($B98,'Estoque Central'!$A$6:$M$205,3,FALSE),"")</f>
        <v/>
      </c>
      <c r="E98" s="21" t="n"/>
      <c r="F98" s="22" t="n"/>
      <c r="G98" s="22" t="n"/>
      <c r="H98" s="25">
        <f>IFERROR(VLOOKUP($E98,'Configurações'!$A$11:$F$20,2,FALSE),"")</f>
        <v/>
      </c>
      <c r="I98" s="28">
        <f>IFERROR(VLOOKUP($E98,'Configurações'!$A$11:$F$20,3,FALSE),"")</f>
        <v/>
      </c>
      <c r="J98" s="24">
        <f>IFERROR(VLOOKUP($E98,'Configurações'!$A$11:$F$20,4,FALSE),"")</f>
        <v/>
      </c>
      <c r="K98" s="24">
        <f>IFERROR(VLOOKUP($E98,'Configurações'!$A$11:$F$20,5,FALSE),"")</f>
        <v/>
      </c>
      <c r="L98" s="24">
        <f>IFERROR(VLOOKUP($B98,'Estoque Central'!$A$6:$M$205,9,FALSE),"")</f>
        <v/>
      </c>
      <c r="M98" s="24">
        <f>IF(COUNTA($A98:$B98,$E98:$G98,$R98)=0,"",IFERROR(IF(OR($C98="",$H98=""),"",IF(OR($D98&lt;&gt;"Ativo",$H98&lt;&gt;"Sim"),0,MIN(IF($J98="",$L98,$J98),ROUNDDOWN($L98*$I98,0)))),""))</f>
        <v/>
      </c>
      <c r="N98" s="24">
        <f>IF(OR($M98="",NOT(ISNUMBER($F98))),"",$M98-$F98)</f>
        <v/>
      </c>
      <c r="O98" s="25">
        <f>IF(COUNTA($A98:$B98,$E98:$G98,$R98)=0,"",IF($S98&lt;&gt;"OK","REVISAR CADASTRO",IF($N98&gt;0,"AUMENTAR",IF($N98&lt;0,"REDUZIR","SEM AÇÃO"))))</f>
        <v/>
      </c>
      <c r="P98" s="25">
        <f>IF(COUNTA($A98:$B98,$E98:$G98,$R98)=0,"",IF($S98&lt;&gt;"OK","REVISAR",IF(OR($D98&lt;&gt;"Ativo",$H98&lt;&gt;"Sim"),IF($F98&gt;0,"ALTO","SEM EXPOSIÇÃO"),IF(OR($F98&gt;$M98,SUMIFS($F$6:$F$305,$B$6:$B$305,$B98,$S$6:$S$305,"OK")&gt;$L98),"ALTO",IF(AND($F98&gt;0,$L98&lt;=$K98),"MÉDIO","BAIXO")))))</f>
        <v/>
      </c>
      <c r="Q98" s="25">
        <f>IF(COUNTA($A98:$B98,$E98:$G98,$R98)=0,"",IF($S98&lt;&gt;"OK","REVISAR",IF($O98="SEM AÇÃO","BAIXA",IF(OR($P98="ALTO",ABS($N98)&gt;='Configurações'!$B$3),"URGENTE",IF(OR($P98="MÉDIO",'Configurações'!$B$5-$R98&gt;'Configurações'!$B$4),"ALTA","NORMAL")))))</f>
        <v/>
      </c>
      <c r="R98" s="23" t="n"/>
      <c r="S98" s="25">
        <f>IF(COUNTA($A98:$B98,$E98:$G98,$R98)=0,"",IF($A98="","ID AUSENTE",IF(COUNTIF($A$6:$A$305,$A98)&gt;1,"ID DUPLICADO",IF($B98="","SKU AUSENTE",IF(COUNTIF('Estoque Central'!$A$6:$A$205,$B98)=0,"SKU NÃO CADASTRADO",IF(IFERROR(VLOOKUP($B98,'Estoque Central'!$A$6:$M$205,13,FALSE),"")&lt;&gt;"OK","ESTOQUE CENTRAL COM PENDÊNCIA",IF($E98="","CANAL AUSENTE",IF(COUNTIF('Configurações'!$A$11:$A$20,$E98)=0,"CANAL NÃO CONFIGURADO",IF(IFERROR(VLOOKUP($E98,'Configurações'!$A$11:$F$20,6,FALSE),"")&lt;&gt;"OK","CANAL COM PENDÊNCIA",IF(COUNTIFS($B$6:$B$305,$B98,$E$6:$E$305,$E98)&gt;1,"SKU/CANAL DUPLICADO",IF(IFERROR(OR(NOT(ISNUMBER($F98)),$F98&lt;0,MOD($F98,1)&lt;&gt;0),TRUE),"SALDO PUBLICADO INVÁLIDO",IF(IFERROR(OR(NOT(ISNUMBER($G98)),$G98&lt;0,MOD($G98,1)&lt;&gt;0),TRUE),"PEDIDOS PENDENTES INVÁLIDOS",IF(IFERROR(OR(NOT(ISNUMBER($R98)),$R98&gt;'Configurações'!$B$5),TRUE),"DATA INVÁLIDA","OK")))))))))))))</f>
        <v/>
      </c>
    </row>
    <row r="99">
      <c r="A99" s="21" t="n"/>
      <c r="B99" s="21" t="n"/>
      <c r="C99" s="27">
        <f>IFERROR(VLOOKUP($B99,'Estoque Central'!$A$6:$M$205,2,FALSE),"")</f>
        <v/>
      </c>
      <c r="D99" s="25">
        <f>IFERROR(VLOOKUP($B99,'Estoque Central'!$A$6:$M$205,3,FALSE),"")</f>
        <v/>
      </c>
      <c r="E99" s="21" t="n"/>
      <c r="F99" s="22" t="n"/>
      <c r="G99" s="22" t="n"/>
      <c r="H99" s="25">
        <f>IFERROR(VLOOKUP($E99,'Configurações'!$A$11:$F$20,2,FALSE),"")</f>
        <v/>
      </c>
      <c r="I99" s="28">
        <f>IFERROR(VLOOKUP($E99,'Configurações'!$A$11:$F$20,3,FALSE),"")</f>
        <v/>
      </c>
      <c r="J99" s="24">
        <f>IFERROR(VLOOKUP($E99,'Configurações'!$A$11:$F$20,4,FALSE),"")</f>
        <v/>
      </c>
      <c r="K99" s="24">
        <f>IFERROR(VLOOKUP($E99,'Configurações'!$A$11:$F$20,5,FALSE),"")</f>
        <v/>
      </c>
      <c r="L99" s="24">
        <f>IFERROR(VLOOKUP($B99,'Estoque Central'!$A$6:$M$205,9,FALSE),"")</f>
        <v/>
      </c>
      <c r="M99" s="24">
        <f>IF(COUNTA($A99:$B99,$E99:$G99,$R99)=0,"",IFERROR(IF(OR($C99="",$H99=""),"",IF(OR($D99&lt;&gt;"Ativo",$H99&lt;&gt;"Sim"),0,MIN(IF($J99="",$L99,$J99),ROUNDDOWN($L99*$I99,0)))),""))</f>
        <v/>
      </c>
      <c r="N99" s="24">
        <f>IF(OR($M99="",NOT(ISNUMBER($F99))),"",$M99-$F99)</f>
        <v/>
      </c>
      <c r="O99" s="25">
        <f>IF(COUNTA($A99:$B99,$E99:$G99,$R99)=0,"",IF($S99&lt;&gt;"OK","REVISAR CADASTRO",IF($N99&gt;0,"AUMENTAR",IF($N99&lt;0,"REDUZIR","SEM AÇÃO"))))</f>
        <v/>
      </c>
      <c r="P99" s="25">
        <f>IF(COUNTA($A99:$B99,$E99:$G99,$R99)=0,"",IF($S99&lt;&gt;"OK","REVISAR",IF(OR($D99&lt;&gt;"Ativo",$H99&lt;&gt;"Sim"),IF($F99&gt;0,"ALTO","SEM EXPOSIÇÃO"),IF(OR($F99&gt;$M99,SUMIFS($F$6:$F$305,$B$6:$B$305,$B99,$S$6:$S$305,"OK")&gt;$L99),"ALTO",IF(AND($F99&gt;0,$L99&lt;=$K99),"MÉDIO","BAIXO")))))</f>
        <v/>
      </c>
      <c r="Q99" s="25">
        <f>IF(COUNTA($A99:$B99,$E99:$G99,$R99)=0,"",IF($S99&lt;&gt;"OK","REVISAR",IF($O99="SEM AÇÃO","BAIXA",IF(OR($P99="ALTO",ABS($N99)&gt;='Configurações'!$B$3),"URGENTE",IF(OR($P99="MÉDIO",'Configurações'!$B$5-$R99&gt;'Configurações'!$B$4),"ALTA","NORMAL")))))</f>
        <v/>
      </c>
      <c r="R99" s="23" t="n"/>
      <c r="S99" s="25">
        <f>IF(COUNTA($A99:$B99,$E99:$G99,$R99)=0,"",IF($A99="","ID AUSENTE",IF(COUNTIF($A$6:$A$305,$A99)&gt;1,"ID DUPLICADO",IF($B99="","SKU AUSENTE",IF(COUNTIF('Estoque Central'!$A$6:$A$205,$B99)=0,"SKU NÃO CADASTRADO",IF(IFERROR(VLOOKUP($B99,'Estoque Central'!$A$6:$M$205,13,FALSE),"")&lt;&gt;"OK","ESTOQUE CENTRAL COM PENDÊNCIA",IF($E99="","CANAL AUSENTE",IF(COUNTIF('Configurações'!$A$11:$A$20,$E99)=0,"CANAL NÃO CONFIGURADO",IF(IFERROR(VLOOKUP($E99,'Configurações'!$A$11:$F$20,6,FALSE),"")&lt;&gt;"OK","CANAL COM PENDÊNCIA",IF(COUNTIFS($B$6:$B$305,$B99,$E$6:$E$305,$E99)&gt;1,"SKU/CANAL DUPLICADO",IF(IFERROR(OR(NOT(ISNUMBER($F99)),$F99&lt;0,MOD($F99,1)&lt;&gt;0),TRUE),"SALDO PUBLICADO INVÁLIDO",IF(IFERROR(OR(NOT(ISNUMBER($G99)),$G99&lt;0,MOD($G99,1)&lt;&gt;0),TRUE),"PEDIDOS PENDENTES INVÁLIDOS",IF(IFERROR(OR(NOT(ISNUMBER($R99)),$R99&gt;'Configurações'!$B$5),TRUE),"DATA INVÁLIDA","OK")))))))))))))</f>
        <v/>
      </c>
    </row>
    <row r="100">
      <c r="A100" s="21" t="n"/>
      <c r="B100" s="21" t="n"/>
      <c r="C100" s="27">
        <f>IFERROR(VLOOKUP($B100,'Estoque Central'!$A$6:$M$205,2,FALSE),"")</f>
        <v/>
      </c>
      <c r="D100" s="25">
        <f>IFERROR(VLOOKUP($B100,'Estoque Central'!$A$6:$M$205,3,FALSE),"")</f>
        <v/>
      </c>
      <c r="E100" s="21" t="n"/>
      <c r="F100" s="22" t="n"/>
      <c r="G100" s="22" t="n"/>
      <c r="H100" s="25">
        <f>IFERROR(VLOOKUP($E100,'Configurações'!$A$11:$F$20,2,FALSE),"")</f>
        <v/>
      </c>
      <c r="I100" s="28">
        <f>IFERROR(VLOOKUP($E100,'Configurações'!$A$11:$F$20,3,FALSE),"")</f>
        <v/>
      </c>
      <c r="J100" s="24">
        <f>IFERROR(VLOOKUP($E100,'Configurações'!$A$11:$F$20,4,FALSE),"")</f>
        <v/>
      </c>
      <c r="K100" s="24">
        <f>IFERROR(VLOOKUP($E100,'Configurações'!$A$11:$F$20,5,FALSE),"")</f>
        <v/>
      </c>
      <c r="L100" s="24">
        <f>IFERROR(VLOOKUP($B100,'Estoque Central'!$A$6:$M$205,9,FALSE),"")</f>
        <v/>
      </c>
      <c r="M100" s="24">
        <f>IF(COUNTA($A100:$B100,$E100:$G100,$R100)=0,"",IFERROR(IF(OR($C100="",$H100=""),"",IF(OR($D100&lt;&gt;"Ativo",$H100&lt;&gt;"Sim"),0,MIN(IF($J100="",$L100,$J100),ROUNDDOWN($L100*$I100,0)))),""))</f>
        <v/>
      </c>
      <c r="N100" s="24">
        <f>IF(OR($M100="",NOT(ISNUMBER($F100))),"",$M100-$F100)</f>
        <v/>
      </c>
      <c r="O100" s="25">
        <f>IF(COUNTA($A100:$B100,$E100:$G100,$R100)=0,"",IF($S100&lt;&gt;"OK","REVISAR CADASTRO",IF($N100&gt;0,"AUMENTAR",IF($N100&lt;0,"REDUZIR","SEM AÇÃO"))))</f>
        <v/>
      </c>
      <c r="P100" s="25">
        <f>IF(COUNTA($A100:$B100,$E100:$G100,$R100)=0,"",IF($S100&lt;&gt;"OK","REVISAR",IF(OR($D100&lt;&gt;"Ativo",$H100&lt;&gt;"Sim"),IF($F100&gt;0,"ALTO","SEM EXPOSIÇÃO"),IF(OR($F100&gt;$M100,SUMIFS($F$6:$F$305,$B$6:$B$305,$B100,$S$6:$S$305,"OK")&gt;$L100),"ALTO",IF(AND($F100&gt;0,$L100&lt;=$K100),"MÉDIO","BAIXO")))))</f>
        <v/>
      </c>
      <c r="Q100" s="25">
        <f>IF(COUNTA($A100:$B100,$E100:$G100,$R100)=0,"",IF($S100&lt;&gt;"OK","REVISAR",IF($O100="SEM AÇÃO","BAIXA",IF(OR($P100="ALTO",ABS($N100)&gt;='Configurações'!$B$3),"URGENTE",IF(OR($P100="MÉDIO",'Configurações'!$B$5-$R100&gt;'Configurações'!$B$4),"ALTA","NORMAL")))))</f>
        <v/>
      </c>
      <c r="R100" s="23" t="n"/>
      <c r="S100" s="25">
        <f>IF(COUNTA($A100:$B100,$E100:$G100,$R100)=0,"",IF($A100="","ID AUSENTE",IF(COUNTIF($A$6:$A$305,$A100)&gt;1,"ID DUPLICADO",IF($B100="","SKU AUSENTE",IF(COUNTIF('Estoque Central'!$A$6:$A$205,$B100)=0,"SKU NÃO CADASTRADO",IF(IFERROR(VLOOKUP($B100,'Estoque Central'!$A$6:$M$205,13,FALSE),"")&lt;&gt;"OK","ESTOQUE CENTRAL COM PENDÊNCIA",IF($E100="","CANAL AUSENTE",IF(COUNTIF('Configurações'!$A$11:$A$20,$E100)=0,"CANAL NÃO CONFIGURADO",IF(IFERROR(VLOOKUP($E100,'Configurações'!$A$11:$F$20,6,FALSE),"")&lt;&gt;"OK","CANAL COM PENDÊNCIA",IF(COUNTIFS($B$6:$B$305,$B100,$E$6:$E$305,$E100)&gt;1,"SKU/CANAL DUPLICADO",IF(IFERROR(OR(NOT(ISNUMBER($F100)),$F100&lt;0,MOD($F100,1)&lt;&gt;0),TRUE),"SALDO PUBLICADO INVÁLIDO",IF(IFERROR(OR(NOT(ISNUMBER($G100)),$G100&lt;0,MOD($G100,1)&lt;&gt;0),TRUE),"PEDIDOS PENDENTES INVÁLIDOS",IF(IFERROR(OR(NOT(ISNUMBER($R100)),$R100&gt;'Configurações'!$B$5),TRUE),"DATA INVÁLIDA","OK")))))))))))))</f>
        <v/>
      </c>
    </row>
    <row r="101">
      <c r="A101" s="21" t="n"/>
      <c r="B101" s="21" t="n"/>
      <c r="C101" s="27">
        <f>IFERROR(VLOOKUP($B101,'Estoque Central'!$A$6:$M$205,2,FALSE),"")</f>
        <v/>
      </c>
      <c r="D101" s="25">
        <f>IFERROR(VLOOKUP($B101,'Estoque Central'!$A$6:$M$205,3,FALSE),"")</f>
        <v/>
      </c>
      <c r="E101" s="21" t="n"/>
      <c r="F101" s="22" t="n"/>
      <c r="G101" s="22" t="n"/>
      <c r="H101" s="25">
        <f>IFERROR(VLOOKUP($E101,'Configurações'!$A$11:$F$20,2,FALSE),"")</f>
        <v/>
      </c>
      <c r="I101" s="28">
        <f>IFERROR(VLOOKUP($E101,'Configurações'!$A$11:$F$20,3,FALSE),"")</f>
        <v/>
      </c>
      <c r="J101" s="24">
        <f>IFERROR(VLOOKUP($E101,'Configurações'!$A$11:$F$20,4,FALSE),"")</f>
        <v/>
      </c>
      <c r="K101" s="24">
        <f>IFERROR(VLOOKUP($E101,'Configurações'!$A$11:$F$20,5,FALSE),"")</f>
        <v/>
      </c>
      <c r="L101" s="24">
        <f>IFERROR(VLOOKUP($B101,'Estoque Central'!$A$6:$M$205,9,FALSE),"")</f>
        <v/>
      </c>
      <c r="M101" s="24">
        <f>IF(COUNTA($A101:$B101,$E101:$G101,$R101)=0,"",IFERROR(IF(OR($C101="",$H101=""),"",IF(OR($D101&lt;&gt;"Ativo",$H101&lt;&gt;"Sim"),0,MIN(IF($J101="",$L101,$J101),ROUNDDOWN($L101*$I101,0)))),""))</f>
        <v/>
      </c>
      <c r="N101" s="24">
        <f>IF(OR($M101="",NOT(ISNUMBER($F101))),"",$M101-$F101)</f>
        <v/>
      </c>
      <c r="O101" s="25">
        <f>IF(COUNTA($A101:$B101,$E101:$G101,$R101)=0,"",IF($S101&lt;&gt;"OK","REVISAR CADASTRO",IF($N101&gt;0,"AUMENTAR",IF($N101&lt;0,"REDUZIR","SEM AÇÃO"))))</f>
        <v/>
      </c>
      <c r="P101" s="25">
        <f>IF(COUNTA($A101:$B101,$E101:$G101,$R101)=0,"",IF($S101&lt;&gt;"OK","REVISAR",IF(OR($D101&lt;&gt;"Ativo",$H101&lt;&gt;"Sim"),IF($F101&gt;0,"ALTO","SEM EXPOSIÇÃO"),IF(OR($F101&gt;$M101,SUMIFS($F$6:$F$305,$B$6:$B$305,$B101,$S$6:$S$305,"OK")&gt;$L101),"ALTO",IF(AND($F101&gt;0,$L101&lt;=$K101),"MÉDIO","BAIXO")))))</f>
        <v/>
      </c>
      <c r="Q101" s="25">
        <f>IF(COUNTA($A101:$B101,$E101:$G101,$R101)=0,"",IF($S101&lt;&gt;"OK","REVISAR",IF($O101="SEM AÇÃO","BAIXA",IF(OR($P101="ALTO",ABS($N101)&gt;='Configurações'!$B$3),"URGENTE",IF(OR($P101="MÉDIO",'Configurações'!$B$5-$R101&gt;'Configurações'!$B$4),"ALTA","NORMAL")))))</f>
        <v/>
      </c>
      <c r="R101" s="23" t="n"/>
      <c r="S101" s="25">
        <f>IF(COUNTA($A101:$B101,$E101:$G101,$R101)=0,"",IF($A101="","ID AUSENTE",IF(COUNTIF($A$6:$A$305,$A101)&gt;1,"ID DUPLICADO",IF($B101="","SKU AUSENTE",IF(COUNTIF('Estoque Central'!$A$6:$A$205,$B101)=0,"SKU NÃO CADASTRADO",IF(IFERROR(VLOOKUP($B101,'Estoque Central'!$A$6:$M$205,13,FALSE),"")&lt;&gt;"OK","ESTOQUE CENTRAL COM PENDÊNCIA",IF($E101="","CANAL AUSENTE",IF(COUNTIF('Configurações'!$A$11:$A$20,$E101)=0,"CANAL NÃO CONFIGURADO",IF(IFERROR(VLOOKUP($E101,'Configurações'!$A$11:$F$20,6,FALSE),"")&lt;&gt;"OK","CANAL COM PENDÊNCIA",IF(COUNTIFS($B$6:$B$305,$B101,$E$6:$E$305,$E101)&gt;1,"SKU/CANAL DUPLICADO",IF(IFERROR(OR(NOT(ISNUMBER($F101)),$F101&lt;0,MOD($F101,1)&lt;&gt;0),TRUE),"SALDO PUBLICADO INVÁLIDO",IF(IFERROR(OR(NOT(ISNUMBER($G101)),$G101&lt;0,MOD($G101,1)&lt;&gt;0),TRUE),"PEDIDOS PENDENTES INVÁLIDOS",IF(IFERROR(OR(NOT(ISNUMBER($R101)),$R101&gt;'Configurações'!$B$5),TRUE),"DATA INVÁLIDA","OK")))))))))))))</f>
        <v/>
      </c>
    </row>
    <row r="102">
      <c r="A102" s="21" t="n"/>
      <c r="B102" s="21" t="n"/>
      <c r="C102" s="27">
        <f>IFERROR(VLOOKUP($B102,'Estoque Central'!$A$6:$M$205,2,FALSE),"")</f>
        <v/>
      </c>
      <c r="D102" s="25">
        <f>IFERROR(VLOOKUP($B102,'Estoque Central'!$A$6:$M$205,3,FALSE),"")</f>
        <v/>
      </c>
      <c r="E102" s="21" t="n"/>
      <c r="F102" s="22" t="n"/>
      <c r="G102" s="22" t="n"/>
      <c r="H102" s="25">
        <f>IFERROR(VLOOKUP($E102,'Configurações'!$A$11:$F$20,2,FALSE),"")</f>
        <v/>
      </c>
      <c r="I102" s="28">
        <f>IFERROR(VLOOKUP($E102,'Configurações'!$A$11:$F$20,3,FALSE),"")</f>
        <v/>
      </c>
      <c r="J102" s="24">
        <f>IFERROR(VLOOKUP($E102,'Configurações'!$A$11:$F$20,4,FALSE),"")</f>
        <v/>
      </c>
      <c r="K102" s="24">
        <f>IFERROR(VLOOKUP($E102,'Configurações'!$A$11:$F$20,5,FALSE),"")</f>
        <v/>
      </c>
      <c r="L102" s="24">
        <f>IFERROR(VLOOKUP($B102,'Estoque Central'!$A$6:$M$205,9,FALSE),"")</f>
        <v/>
      </c>
      <c r="M102" s="24">
        <f>IF(COUNTA($A102:$B102,$E102:$G102,$R102)=0,"",IFERROR(IF(OR($C102="",$H102=""),"",IF(OR($D102&lt;&gt;"Ativo",$H102&lt;&gt;"Sim"),0,MIN(IF($J102="",$L102,$J102),ROUNDDOWN($L102*$I102,0)))),""))</f>
        <v/>
      </c>
      <c r="N102" s="24">
        <f>IF(OR($M102="",NOT(ISNUMBER($F102))),"",$M102-$F102)</f>
        <v/>
      </c>
      <c r="O102" s="25">
        <f>IF(COUNTA($A102:$B102,$E102:$G102,$R102)=0,"",IF($S102&lt;&gt;"OK","REVISAR CADASTRO",IF($N102&gt;0,"AUMENTAR",IF($N102&lt;0,"REDUZIR","SEM AÇÃO"))))</f>
        <v/>
      </c>
      <c r="P102" s="25">
        <f>IF(COUNTA($A102:$B102,$E102:$G102,$R102)=0,"",IF($S102&lt;&gt;"OK","REVISAR",IF(OR($D102&lt;&gt;"Ativo",$H102&lt;&gt;"Sim"),IF($F102&gt;0,"ALTO","SEM EXPOSIÇÃO"),IF(OR($F102&gt;$M102,SUMIFS($F$6:$F$305,$B$6:$B$305,$B102,$S$6:$S$305,"OK")&gt;$L102),"ALTO",IF(AND($F102&gt;0,$L102&lt;=$K102),"MÉDIO","BAIXO")))))</f>
        <v/>
      </c>
      <c r="Q102" s="25">
        <f>IF(COUNTA($A102:$B102,$E102:$G102,$R102)=0,"",IF($S102&lt;&gt;"OK","REVISAR",IF($O102="SEM AÇÃO","BAIXA",IF(OR($P102="ALTO",ABS($N102)&gt;='Configurações'!$B$3),"URGENTE",IF(OR($P102="MÉDIO",'Configurações'!$B$5-$R102&gt;'Configurações'!$B$4),"ALTA","NORMAL")))))</f>
        <v/>
      </c>
      <c r="R102" s="23" t="n"/>
      <c r="S102" s="25">
        <f>IF(COUNTA($A102:$B102,$E102:$G102,$R102)=0,"",IF($A102="","ID AUSENTE",IF(COUNTIF($A$6:$A$305,$A102)&gt;1,"ID DUPLICADO",IF($B102="","SKU AUSENTE",IF(COUNTIF('Estoque Central'!$A$6:$A$205,$B102)=0,"SKU NÃO CADASTRADO",IF(IFERROR(VLOOKUP($B102,'Estoque Central'!$A$6:$M$205,13,FALSE),"")&lt;&gt;"OK","ESTOQUE CENTRAL COM PENDÊNCIA",IF($E102="","CANAL AUSENTE",IF(COUNTIF('Configurações'!$A$11:$A$20,$E102)=0,"CANAL NÃO CONFIGURADO",IF(IFERROR(VLOOKUP($E102,'Configurações'!$A$11:$F$20,6,FALSE),"")&lt;&gt;"OK","CANAL COM PENDÊNCIA",IF(COUNTIFS($B$6:$B$305,$B102,$E$6:$E$305,$E102)&gt;1,"SKU/CANAL DUPLICADO",IF(IFERROR(OR(NOT(ISNUMBER($F102)),$F102&lt;0,MOD($F102,1)&lt;&gt;0),TRUE),"SALDO PUBLICADO INVÁLIDO",IF(IFERROR(OR(NOT(ISNUMBER($G102)),$G102&lt;0,MOD($G102,1)&lt;&gt;0),TRUE),"PEDIDOS PENDENTES INVÁLIDOS",IF(IFERROR(OR(NOT(ISNUMBER($R102)),$R102&gt;'Configurações'!$B$5),TRUE),"DATA INVÁLIDA","OK")))))))))))))</f>
        <v/>
      </c>
    </row>
    <row r="103">
      <c r="A103" s="21" t="n"/>
      <c r="B103" s="21" t="n"/>
      <c r="C103" s="27">
        <f>IFERROR(VLOOKUP($B103,'Estoque Central'!$A$6:$M$205,2,FALSE),"")</f>
        <v/>
      </c>
      <c r="D103" s="25">
        <f>IFERROR(VLOOKUP($B103,'Estoque Central'!$A$6:$M$205,3,FALSE),"")</f>
        <v/>
      </c>
      <c r="E103" s="21" t="n"/>
      <c r="F103" s="22" t="n"/>
      <c r="G103" s="22" t="n"/>
      <c r="H103" s="25">
        <f>IFERROR(VLOOKUP($E103,'Configurações'!$A$11:$F$20,2,FALSE),"")</f>
        <v/>
      </c>
      <c r="I103" s="28">
        <f>IFERROR(VLOOKUP($E103,'Configurações'!$A$11:$F$20,3,FALSE),"")</f>
        <v/>
      </c>
      <c r="J103" s="24">
        <f>IFERROR(VLOOKUP($E103,'Configurações'!$A$11:$F$20,4,FALSE),"")</f>
        <v/>
      </c>
      <c r="K103" s="24">
        <f>IFERROR(VLOOKUP($E103,'Configurações'!$A$11:$F$20,5,FALSE),"")</f>
        <v/>
      </c>
      <c r="L103" s="24">
        <f>IFERROR(VLOOKUP($B103,'Estoque Central'!$A$6:$M$205,9,FALSE),"")</f>
        <v/>
      </c>
      <c r="M103" s="24">
        <f>IF(COUNTA($A103:$B103,$E103:$G103,$R103)=0,"",IFERROR(IF(OR($C103="",$H103=""),"",IF(OR($D103&lt;&gt;"Ativo",$H103&lt;&gt;"Sim"),0,MIN(IF($J103="",$L103,$J103),ROUNDDOWN($L103*$I103,0)))),""))</f>
        <v/>
      </c>
      <c r="N103" s="24">
        <f>IF(OR($M103="",NOT(ISNUMBER($F103))),"",$M103-$F103)</f>
        <v/>
      </c>
      <c r="O103" s="25">
        <f>IF(COUNTA($A103:$B103,$E103:$G103,$R103)=0,"",IF($S103&lt;&gt;"OK","REVISAR CADASTRO",IF($N103&gt;0,"AUMENTAR",IF($N103&lt;0,"REDUZIR","SEM AÇÃO"))))</f>
        <v/>
      </c>
      <c r="P103" s="25">
        <f>IF(COUNTA($A103:$B103,$E103:$G103,$R103)=0,"",IF($S103&lt;&gt;"OK","REVISAR",IF(OR($D103&lt;&gt;"Ativo",$H103&lt;&gt;"Sim"),IF($F103&gt;0,"ALTO","SEM EXPOSIÇÃO"),IF(OR($F103&gt;$M103,SUMIFS($F$6:$F$305,$B$6:$B$305,$B103,$S$6:$S$305,"OK")&gt;$L103),"ALTO",IF(AND($F103&gt;0,$L103&lt;=$K103),"MÉDIO","BAIXO")))))</f>
        <v/>
      </c>
      <c r="Q103" s="25">
        <f>IF(COUNTA($A103:$B103,$E103:$G103,$R103)=0,"",IF($S103&lt;&gt;"OK","REVISAR",IF($O103="SEM AÇÃO","BAIXA",IF(OR($P103="ALTO",ABS($N103)&gt;='Configurações'!$B$3),"URGENTE",IF(OR($P103="MÉDIO",'Configurações'!$B$5-$R103&gt;'Configurações'!$B$4),"ALTA","NORMAL")))))</f>
        <v/>
      </c>
      <c r="R103" s="23" t="n"/>
      <c r="S103" s="25">
        <f>IF(COUNTA($A103:$B103,$E103:$G103,$R103)=0,"",IF($A103="","ID AUSENTE",IF(COUNTIF($A$6:$A$305,$A103)&gt;1,"ID DUPLICADO",IF($B103="","SKU AUSENTE",IF(COUNTIF('Estoque Central'!$A$6:$A$205,$B103)=0,"SKU NÃO CADASTRADO",IF(IFERROR(VLOOKUP($B103,'Estoque Central'!$A$6:$M$205,13,FALSE),"")&lt;&gt;"OK","ESTOQUE CENTRAL COM PENDÊNCIA",IF($E103="","CANAL AUSENTE",IF(COUNTIF('Configurações'!$A$11:$A$20,$E103)=0,"CANAL NÃO CONFIGURADO",IF(IFERROR(VLOOKUP($E103,'Configurações'!$A$11:$F$20,6,FALSE),"")&lt;&gt;"OK","CANAL COM PENDÊNCIA",IF(COUNTIFS($B$6:$B$305,$B103,$E$6:$E$305,$E103)&gt;1,"SKU/CANAL DUPLICADO",IF(IFERROR(OR(NOT(ISNUMBER($F103)),$F103&lt;0,MOD($F103,1)&lt;&gt;0),TRUE),"SALDO PUBLICADO INVÁLIDO",IF(IFERROR(OR(NOT(ISNUMBER($G103)),$G103&lt;0,MOD($G103,1)&lt;&gt;0),TRUE),"PEDIDOS PENDENTES INVÁLIDOS",IF(IFERROR(OR(NOT(ISNUMBER($R103)),$R103&gt;'Configurações'!$B$5),TRUE),"DATA INVÁLIDA","OK")))))))))))))</f>
        <v/>
      </c>
    </row>
    <row r="104">
      <c r="A104" s="21" t="n"/>
      <c r="B104" s="21" t="n"/>
      <c r="C104" s="27">
        <f>IFERROR(VLOOKUP($B104,'Estoque Central'!$A$6:$M$205,2,FALSE),"")</f>
        <v/>
      </c>
      <c r="D104" s="25">
        <f>IFERROR(VLOOKUP($B104,'Estoque Central'!$A$6:$M$205,3,FALSE),"")</f>
        <v/>
      </c>
      <c r="E104" s="21" t="n"/>
      <c r="F104" s="22" t="n"/>
      <c r="G104" s="22" t="n"/>
      <c r="H104" s="25">
        <f>IFERROR(VLOOKUP($E104,'Configurações'!$A$11:$F$20,2,FALSE),"")</f>
        <v/>
      </c>
      <c r="I104" s="28">
        <f>IFERROR(VLOOKUP($E104,'Configurações'!$A$11:$F$20,3,FALSE),"")</f>
        <v/>
      </c>
      <c r="J104" s="24">
        <f>IFERROR(VLOOKUP($E104,'Configurações'!$A$11:$F$20,4,FALSE),"")</f>
        <v/>
      </c>
      <c r="K104" s="24">
        <f>IFERROR(VLOOKUP($E104,'Configurações'!$A$11:$F$20,5,FALSE),"")</f>
        <v/>
      </c>
      <c r="L104" s="24">
        <f>IFERROR(VLOOKUP($B104,'Estoque Central'!$A$6:$M$205,9,FALSE),"")</f>
        <v/>
      </c>
      <c r="M104" s="24">
        <f>IF(COUNTA($A104:$B104,$E104:$G104,$R104)=0,"",IFERROR(IF(OR($C104="",$H104=""),"",IF(OR($D104&lt;&gt;"Ativo",$H104&lt;&gt;"Sim"),0,MIN(IF($J104="",$L104,$J104),ROUNDDOWN($L104*$I104,0)))),""))</f>
        <v/>
      </c>
      <c r="N104" s="24">
        <f>IF(OR($M104="",NOT(ISNUMBER($F104))),"",$M104-$F104)</f>
        <v/>
      </c>
      <c r="O104" s="25">
        <f>IF(COUNTA($A104:$B104,$E104:$G104,$R104)=0,"",IF($S104&lt;&gt;"OK","REVISAR CADASTRO",IF($N104&gt;0,"AUMENTAR",IF($N104&lt;0,"REDUZIR","SEM AÇÃO"))))</f>
        <v/>
      </c>
      <c r="P104" s="25">
        <f>IF(COUNTA($A104:$B104,$E104:$G104,$R104)=0,"",IF($S104&lt;&gt;"OK","REVISAR",IF(OR($D104&lt;&gt;"Ativo",$H104&lt;&gt;"Sim"),IF($F104&gt;0,"ALTO","SEM EXPOSIÇÃO"),IF(OR($F104&gt;$M104,SUMIFS($F$6:$F$305,$B$6:$B$305,$B104,$S$6:$S$305,"OK")&gt;$L104),"ALTO",IF(AND($F104&gt;0,$L104&lt;=$K104),"MÉDIO","BAIXO")))))</f>
        <v/>
      </c>
      <c r="Q104" s="25">
        <f>IF(COUNTA($A104:$B104,$E104:$G104,$R104)=0,"",IF($S104&lt;&gt;"OK","REVISAR",IF($O104="SEM AÇÃO","BAIXA",IF(OR($P104="ALTO",ABS($N104)&gt;='Configurações'!$B$3),"URGENTE",IF(OR($P104="MÉDIO",'Configurações'!$B$5-$R104&gt;'Configurações'!$B$4),"ALTA","NORMAL")))))</f>
        <v/>
      </c>
      <c r="R104" s="23" t="n"/>
      <c r="S104" s="25">
        <f>IF(COUNTA($A104:$B104,$E104:$G104,$R104)=0,"",IF($A104="","ID AUSENTE",IF(COUNTIF($A$6:$A$305,$A104)&gt;1,"ID DUPLICADO",IF($B104="","SKU AUSENTE",IF(COUNTIF('Estoque Central'!$A$6:$A$205,$B104)=0,"SKU NÃO CADASTRADO",IF(IFERROR(VLOOKUP($B104,'Estoque Central'!$A$6:$M$205,13,FALSE),"")&lt;&gt;"OK","ESTOQUE CENTRAL COM PENDÊNCIA",IF($E104="","CANAL AUSENTE",IF(COUNTIF('Configurações'!$A$11:$A$20,$E104)=0,"CANAL NÃO CONFIGURADO",IF(IFERROR(VLOOKUP($E104,'Configurações'!$A$11:$F$20,6,FALSE),"")&lt;&gt;"OK","CANAL COM PENDÊNCIA",IF(COUNTIFS($B$6:$B$305,$B104,$E$6:$E$305,$E104)&gt;1,"SKU/CANAL DUPLICADO",IF(IFERROR(OR(NOT(ISNUMBER($F104)),$F104&lt;0,MOD($F104,1)&lt;&gt;0),TRUE),"SALDO PUBLICADO INVÁLIDO",IF(IFERROR(OR(NOT(ISNUMBER($G104)),$G104&lt;0,MOD($G104,1)&lt;&gt;0),TRUE),"PEDIDOS PENDENTES INVÁLIDOS",IF(IFERROR(OR(NOT(ISNUMBER($R104)),$R104&gt;'Configurações'!$B$5),TRUE),"DATA INVÁLIDA","OK")))))))))))))</f>
        <v/>
      </c>
    </row>
    <row r="105">
      <c r="A105" s="21" t="n"/>
      <c r="B105" s="21" t="n"/>
      <c r="C105" s="27">
        <f>IFERROR(VLOOKUP($B105,'Estoque Central'!$A$6:$M$205,2,FALSE),"")</f>
        <v/>
      </c>
      <c r="D105" s="25">
        <f>IFERROR(VLOOKUP($B105,'Estoque Central'!$A$6:$M$205,3,FALSE),"")</f>
        <v/>
      </c>
      <c r="E105" s="21" t="n"/>
      <c r="F105" s="22" t="n"/>
      <c r="G105" s="22" t="n"/>
      <c r="H105" s="25">
        <f>IFERROR(VLOOKUP($E105,'Configurações'!$A$11:$F$20,2,FALSE),"")</f>
        <v/>
      </c>
      <c r="I105" s="28">
        <f>IFERROR(VLOOKUP($E105,'Configurações'!$A$11:$F$20,3,FALSE),"")</f>
        <v/>
      </c>
      <c r="J105" s="24">
        <f>IFERROR(VLOOKUP($E105,'Configurações'!$A$11:$F$20,4,FALSE),"")</f>
        <v/>
      </c>
      <c r="K105" s="24">
        <f>IFERROR(VLOOKUP($E105,'Configurações'!$A$11:$F$20,5,FALSE),"")</f>
        <v/>
      </c>
      <c r="L105" s="24">
        <f>IFERROR(VLOOKUP($B105,'Estoque Central'!$A$6:$M$205,9,FALSE),"")</f>
        <v/>
      </c>
      <c r="M105" s="24">
        <f>IF(COUNTA($A105:$B105,$E105:$G105,$R105)=0,"",IFERROR(IF(OR($C105="",$H105=""),"",IF(OR($D105&lt;&gt;"Ativo",$H105&lt;&gt;"Sim"),0,MIN(IF($J105="",$L105,$J105),ROUNDDOWN($L105*$I105,0)))),""))</f>
        <v/>
      </c>
      <c r="N105" s="24">
        <f>IF(OR($M105="",NOT(ISNUMBER($F105))),"",$M105-$F105)</f>
        <v/>
      </c>
      <c r="O105" s="25">
        <f>IF(COUNTA($A105:$B105,$E105:$G105,$R105)=0,"",IF($S105&lt;&gt;"OK","REVISAR CADASTRO",IF($N105&gt;0,"AUMENTAR",IF($N105&lt;0,"REDUZIR","SEM AÇÃO"))))</f>
        <v/>
      </c>
      <c r="P105" s="25">
        <f>IF(COUNTA($A105:$B105,$E105:$G105,$R105)=0,"",IF($S105&lt;&gt;"OK","REVISAR",IF(OR($D105&lt;&gt;"Ativo",$H105&lt;&gt;"Sim"),IF($F105&gt;0,"ALTO","SEM EXPOSIÇÃO"),IF(OR($F105&gt;$M105,SUMIFS($F$6:$F$305,$B$6:$B$305,$B105,$S$6:$S$305,"OK")&gt;$L105),"ALTO",IF(AND($F105&gt;0,$L105&lt;=$K105),"MÉDIO","BAIXO")))))</f>
        <v/>
      </c>
      <c r="Q105" s="25">
        <f>IF(COUNTA($A105:$B105,$E105:$G105,$R105)=0,"",IF($S105&lt;&gt;"OK","REVISAR",IF($O105="SEM AÇÃO","BAIXA",IF(OR($P105="ALTO",ABS($N105)&gt;='Configurações'!$B$3),"URGENTE",IF(OR($P105="MÉDIO",'Configurações'!$B$5-$R105&gt;'Configurações'!$B$4),"ALTA","NORMAL")))))</f>
        <v/>
      </c>
      <c r="R105" s="23" t="n"/>
      <c r="S105" s="25">
        <f>IF(COUNTA($A105:$B105,$E105:$G105,$R105)=0,"",IF($A105="","ID AUSENTE",IF(COUNTIF($A$6:$A$305,$A105)&gt;1,"ID DUPLICADO",IF($B105="","SKU AUSENTE",IF(COUNTIF('Estoque Central'!$A$6:$A$205,$B105)=0,"SKU NÃO CADASTRADO",IF(IFERROR(VLOOKUP($B105,'Estoque Central'!$A$6:$M$205,13,FALSE),"")&lt;&gt;"OK","ESTOQUE CENTRAL COM PENDÊNCIA",IF($E105="","CANAL AUSENTE",IF(COUNTIF('Configurações'!$A$11:$A$20,$E105)=0,"CANAL NÃO CONFIGURADO",IF(IFERROR(VLOOKUP($E105,'Configurações'!$A$11:$F$20,6,FALSE),"")&lt;&gt;"OK","CANAL COM PENDÊNCIA",IF(COUNTIFS($B$6:$B$305,$B105,$E$6:$E$305,$E105)&gt;1,"SKU/CANAL DUPLICADO",IF(IFERROR(OR(NOT(ISNUMBER($F105)),$F105&lt;0,MOD($F105,1)&lt;&gt;0),TRUE),"SALDO PUBLICADO INVÁLIDO",IF(IFERROR(OR(NOT(ISNUMBER($G105)),$G105&lt;0,MOD($G105,1)&lt;&gt;0),TRUE),"PEDIDOS PENDENTES INVÁLIDOS",IF(IFERROR(OR(NOT(ISNUMBER($R105)),$R105&gt;'Configurações'!$B$5),TRUE),"DATA INVÁLIDA","OK")))))))))))))</f>
        <v/>
      </c>
    </row>
    <row r="106">
      <c r="A106" s="21" t="n"/>
      <c r="B106" s="21" t="n"/>
      <c r="C106" s="27">
        <f>IFERROR(VLOOKUP($B106,'Estoque Central'!$A$6:$M$205,2,FALSE),"")</f>
        <v/>
      </c>
      <c r="D106" s="25">
        <f>IFERROR(VLOOKUP($B106,'Estoque Central'!$A$6:$M$205,3,FALSE),"")</f>
        <v/>
      </c>
      <c r="E106" s="21" t="n"/>
      <c r="F106" s="22" t="n"/>
      <c r="G106" s="22" t="n"/>
      <c r="H106" s="25">
        <f>IFERROR(VLOOKUP($E106,'Configurações'!$A$11:$F$20,2,FALSE),"")</f>
        <v/>
      </c>
      <c r="I106" s="28">
        <f>IFERROR(VLOOKUP($E106,'Configurações'!$A$11:$F$20,3,FALSE),"")</f>
        <v/>
      </c>
      <c r="J106" s="24">
        <f>IFERROR(VLOOKUP($E106,'Configurações'!$A$11:$F$20,4,FALSE),"")</f>
        <v/>
      </c>
      <c r="K106" s="24">
        <f>IFERROR(VLOOKUP($E106,'Configurações'!$A$11:$F$20,5,FALSE),"")</f>
        <v/>
      </c>
      <c r="L106" s="24">
        <f>IFERROR(VLOOKUP($B106,'Estoque Central'!$A$6:$M$205,9,FALSE),"")</f>
        <v/>
      </c>
      <c r="M106" s="24">
        <f>IF(COUNTA($A106:$B106,$E106:$G106,$R106)=0,"",IFERROR(IF(OR($C106="",$H106=""),"",IF(OR($D106&lt;&gt;"Ativo",$H106&lt;&gt;"Sim"),0,MIN(IF($J106="",$L106,$J106),ROUNDDOWN($L106*$I106,0)))),""))</f>
        <v/>
      </c>
      <c r="N106" s="24">
        <f>IF(OR($M106="",NOT(ISNUMBER($F106))),"",$M106-$F106)</f>
        <v/>
      </c>
      <c r="O106" s="25">
        <f>IF(COUNTA($A106:$B106,$E106:$G106,$R106)=0,"",IF($S106&lt;&gt;"OK","REVISAR CADASTRO",IF($N106&gt;0,"AUMENTAR",IF($N106&lt;0,"REDUZIR","SEM AÇÃO"))))</f>
        <v/>
      </c>
      <c r="P106" s="25">
        <f>IF(COUNTA($A106:$B106,$E106:$G106,$R106)=0,"",IF($S106&lt;&gt;"OK","REVISAR",IF(OR($D106&lt;&gt;"Ativo",$H106&lt;&gt;"Sim"),IF($F106&gt;0,"ALTO","SEM EXPOSIÇÃO"),IF(OR($F106&gt;$M106,SUMIFS($F$6:$F$305,$B$6:$B$305,$B106,$S$6:$S$305,"OK")&gt;$L106),"ALTO",IF(AND($F106&gt;0,$L106&lt;=$K106),"MÉDIO","BAIXO")))))</f>
        <v/>
      </c>
      <c r="Q106" s="25">
        <f>IF(COUNTA($A106:$B106,$E106:$G106,$R106)=0,"",IF($S106&lt;&gt;"OK","REVISAR",IF($O106="SEM AÇÃO","BAIXA",IF(OR($P106="ALTO",ABS($N106)&gt;='Configurações'!$B$3),"URGENTE",IF(OR($P106="MÉDIO",'Configurações'!$B$5-$R106&gt;'Configurações'!$B$4),"ALTA","NORMAL")))))</f>
        <v/>
      </c>
      <c r="R106" s="23" t="n"/>
      <c r="S106" s="25">
        <f>IF(COUNTA($A106:$B106,$E106:$G106,$R106)=0,"",IF($A106="","ID AUSENTE",IF(COUNTIF($A$6:$A$305,$A106)&gt;1,"ID DUPLICADO",IF($B106="","SKU AUSENTE",IF(COUNTIF('Estoque Central'!$A$6:$A$205,$B106)=0,"SKU NÃO CADASTRADO",IF(IFERROR(VLOOKUP($B106,'Estoque Central'!$A$6:$M$205,13,FALSE),"")&lt;&gt;"OK","ESTOQUE CENTRAL COM PENDÊNCIA",IF($E106="","CANAL AUSENTE",IF(COUNTIF('Configurações'!$A$11:$A$20,$E106)=0,"CANAL NÃO CONFIGURADO",IF(IFERROR(VLOOKUP($E106,'Configurações'!$A$11:$F$20,6,FALSE),"")&lt;&gt;"OK","CANAL COM PENDÊNCIA",IF(COUNTIFS($B$6:$B$305,$B106,$E$6:$E$305,$E106)&gt;1,"SKU/CANAL DUPLICADO",IF(IFERROR(OR(NOT(ISNUMBER($F106)),$F106&lt;0,MOD($F106,1)&lt;&gt;0),TRUE),"SALDO PUBLICADO INVÁLIDO",IF(IFERROR(OR(NOT(ISNUMBER($G106)),$G106&lt;0,MOD($G106,1)&lt;&gt;0),TRUE),"PEDIDOS PENDENTES INVÁLIDOS",IF(IFERROR(OR(NOT(ISNUMBER($R106)),$R106&gt;'Configurações'!$B$5),TRUE),"DATA INVÁLIDA","OK")))))))))))))</f>
        <v/>
      </c>
    </row>
    <row r="107">
      <c r="A107" s="21" t="n"/>
      <c r="B107" s="21" t="n"/>
      <c r="C107" s="27">
        <f>IFERROR(VLOOKUP($B107,'Estoque Central'!$A$6:$M$205,2,FALSE),"")</f>
        <v/>
      </c>
      <c r="D107" s="25">
        <f>IFERROR(VLOOKUP($B107,'Estoque Central'!$A$6:$M$205,3,FALSE),"")</f>
        <v/>
      </c>
      <c r="E107" s="21" t="n"/>
      <c r="F107" s="22" t="n"/>
      <c r="G107" s="22" t="n"/>
      <c r="H107" s="25">
        <f>IFERROR(VLOOKUP($E107,'Configurações'!$A$11:$F$20,2,FALSE),"")</f>
        <v/>
      </c>
      <c r="I107" s="28">
        <f>IFERROR(VLOOKUP($E107,'Configurações'!$A$11:$F$20,3,FALSE),"")</f>
        <v/>
      </c>
      <c r="J107" s="24">
        <f>IFERROR(VLOOKUP($E107,'Configurações'!$A$11:$F$20,4,FALSE),"")</f>
        <v/>
      </c>
      <c r="K107" s="24">
        <f>IFERROR(VLOOKUP($E107,'Configurações'!$A$11:$F$20,5,FALSE),"")</f>
        <v/>
      </c>
      <c r="L107" s="24">
        <f>IFERROR(VLOOKUP($B107,'Estoque Central'!$A$6:$M$205,9,FALSE),"")</f>
        <v/>
      </c>
      <c r="M107" s="24">
        <f>IF(COUNTA($A107:$B107,$E107:$G107,$R107)=0,"",IFERROR(IF(OR($C107="",$H107=""),"",IF(OR($D107&lt;&gt;"Ativo",$H107&lt;&gt;"Sim"),0,MIN(IF($J107="",$L107,$J107),ROUNDDOWN($L107*$I107,0)))),""))</f>
        <v/>
      </c>
      <c r="N107" s="24">
        <f>IF(OR($M107="",NOT(ISNUMBER($F107))),"",$M107-$F107)</f>
        <v/>
      </c>
      <c r="O107" s="25">
        <f>IF(COUNTA($A107:$B107,$E107:$G107,$R107)=0,"",IF($S107&lt;&gt;"OK","REVISAR CADASTRO",IF($N107&gt;0,"AUMENTAR",IF($N107&lt;0,"REDUZIR","SEM AÇÃO"))))</f>
        <v/>
      </c>
      <c r="P107" s="25">
        <f>IF(COUNTA($A107:$B107,$E107:$G107,$R107)=0,"",IF($S107&lt;&gt;"OK","REVISAR",IF(OR($D107&lt;&gt;"Ativo",$H107&lt;&gt;"Sim"),IF($F107&gt;0,"ALTO","SEM EXPOSIÇÃO"),IF(OR($F107&gt;$M107,SUMIFS($F$6:$F$305,$B$6:$B$305,$B107,$S$6:$S$305,"OK")&gt;$L107),"ALTO",IF(AND($F107&gt;0,$L107&lt;=$K107),"MÉDIO","BAIXO")))))</f>
        <v/>
      </c>
      <c r="Q107" s="25">
        <f>IF(COUNTA($A107:$B107,$E107:$G107,$R107)=0,"",IF($S107&lt;&gt;"OK","REVISAR",IF($O107="SEM AÇÃO","BAIXA",IF(OR($P107="ALTO",ABS($N107)&gt;='Configurações'!$B$3),"URGENTE",IF(OR($P107="MÉDIO",'Configurações'!$B$5-$R107&gt;'Configurações'!$B$4),"ALTA","NORMAL")))))</f>
        <v/>
      </c>
      <c r="R107" s="23" t="n"/>
      <c r="S107" s="25">
        <f>IF(COUNTA($A107:$B107,$E107:$G107,$R107)=0,"",IF($A107="","ID AUSENTE",IF(COUNTIF($A$6:$A$305,$A107)&gt;1,"ID DUPLICADO",IF($B107="","SKU AUSENTE",IF(COUNTIF('Estoque Central'!$A$6:$A$205,$B107)=0,"SKU NÃO CADASTRADO",IF(IFERROR(VLOOKUP($B107,'Estoque Central'!$A$6:$M$205,13,FALSE),"")&lt;&gt;"OK","ESTOQUE CENTRAL COM PENDÊNCIA",IF($E107="","CANAL AUSENTE",IF(COUNTIF('Configurações'!$A$11:$A$20,$E107)=0,"CANAL NÃO CONFIGURADO",IF(IFERROR(VLOOKUP($E107,'Configurações'!$A$11:$F$20,6,FALSE),"")&lt;&gt;"OK","CANAL COM PENDÊNCIA",IF(COUNTIFS($B$6:$B$305,$B107,$E$6:$E$305,$E107)&gt;1,"SKU/CANAL DUPLICADO",IF(IFERROR(OR(NOT(ISNUMBER($F107)),$F107&lt;0,MOD($F107,1)&lt;&gt;0),TRUE),"SALDO PUBLICADO INVÁLIDO",IF(IFERROR(OR(NOT(ISNUMBER($G107)),$G107&lt;0,MOD($G107,1)&lt;&gt;0),TRUE),"PEDIDOS PENDENTES INVÁLIDOS",IF(IFERROR(OR(NOT(ISNUMBER($R107)),$R107&gt;'Configurações'!$B$5),TRUE),"DATA INVÁLIDA","OK")))))))))))))</f>
        <v/>
      </c>
    </row>
    <row r="108">
      <c r="A108" s="21" t="n"/>
      <c r="B108" s="21" t="n"/>
      <c r="C108" s="27">
        <f>IFERROR(VLOOKUP($B108,'Estoque Central'!$A$6:$M$205,2,FALSE),"")</f>
        <v/>
      </c>
      <c r="D108" s="25">
        <f>IFERROR(VLOOKUP($B108,'Estoque Central'!$A$6:$M$205,3,FALSE),"")</f>
        <v/>
      </c>
      <c r="E108" s="21" t="n"/>
      <c r="F108" s="22" t="n"/>
      <c r="G108" s="22" t="n"/>
      <c r="H108" s="25">
        <f>IFERROR(VLOOKUP($E108,'Configurações'!$A$11:$F$20,2,FALSE),"")</f>
        <v/>
      </c>
      <c r="I108" s="28">
        <f>IFERROR(VLOOKUP($E108,'Configurações'!$A$11:$F$20,3,FALSE),"")</f>
        <v/>
      </c>
      <c r="J108" s="24">
        <f>IFERROR(VLOOKUP($E108,'Configurações'!$A$11:$F$20,4,FALSE),"")</f>
        <v/>
      </c>
      <c r="K108" s="24">
        <f>IFERROR(VLOOKUP($E108,'Configurações'!$A$11:$F$20,5,FALSE),"")</f>
        <v/>
      </c>
      <c r="L108" s="24">
        <f>IFERROR(VLOOKUP($B108,'Estoque Central'!$A$6:$M$205,9,FALSE),"")</f>
        <v/>
      </c>
      <c r="M108" s="24">
        <f>IF(COUNTA($A108:$B108,$E108:$G108,$R108)=0,"",IFERROR(IF(OR($C108="",$H108=""),"",IF(OR($D108&lt;&gt;"Ativo",$H108&lt;&gt;"Sim"),0,MIN(IF($J108="",$L108,$J108),ROUNDDOWN($L108*$I108,0)))),""))</f>
        <v/>
      </c>
      <c r="N108" s="24">
        <f>IF(OR($M108="",NOT(ISNUMBER($F108))),"",$M108-$F108)</f>
        <v/>
      </c>
      <c r="O108" s="25">
        <f>IF(COUNTA($A108:$B108,$E108:$G108,$R108)=0,"",IF($S108&lt;&gt;"OK","REVISAR CADASTRO",IF($N108&gt;0,"AUMENTAR",IF($N108&lt;0,"REDUZIR","SEM AÇÃO"))))</f>
        <v/>
      </c>
      <c r="P108" s="25">
        <f>IF(COUNTA($A108:$B108,$E108:$G108,$R108)=0,"",IF($S108&lt;&gt;"OK","REVISAR",IF(OR($D108&lt;&gt;"Ativo",$H108&lt;&gt;"Sim"),IF($F108&gt;0,"ALTO","SEM EXPOSIÇÃO"),IF(OR($F108&gt;$M108,SUMIFS($F$6:$F$305,$B$6:$B$305,$B108,$S$6:$S$305,"OK")&gt;$L108),"ALTO",IF(AND($F108&gt;0,$L108&lt;=$K108),"MÉDIO","BAIXO")))))</f>
        <v/>
      </c>
      <c r="Q108" s="25">
        <f>IF(COUNTA($A108:$B108,$E108:$G108,$R108)=0,"",IF($S108&lt;&gt;"OK","REVISAR",IF($O108="SEM AÇÃO","BAIXA",IF(OR($P108="ALTO",ABS($N108)&gt;='Configurações'!$B$3),"URGENTE",IF(OR($P108="MÉDIO",'Configurações'!$B$5-$R108&gt;'Configurações'!$B$4),"ALTA","NORMAL")))))</f>
        <v/>
      </c>
      <c r="R108" s="23" t="n"/>
      <c r="S108" s="25">
        <f>IF(COUNTA($A108:$B108,$E108:$G108,$R108)=0,"",IF($A108="","ID AUSENTE",IF(COUNTIF($A$6:$A$305,$A108)&gt;1,"ID DUPLICADO",IF($B108="","SKU AUSENTE",IF(COUNTIF('Estoque Central'!$A$6:$A$205,$B108)=0,"SKU NÃO CADASTRADO",IF(IFERROR(VLOOKUP($B108,'Estoque Central'!$A$6:$M$205,13,FALSE),"")&lt;&gt;"OK","ESTOQUE CENTRAL COM PENDÊNCIA",IF($E108="","CANAL AUSENTE",IF(COUNTIF('Configurações'!$A$11:$A$20,$E108)=0,"CANAL NÃO CONFIGURADO",IF(IFERROR(VLOOKUP($E108,'Configurações'!$A$11:$F$20,6,FALSE),"")&lt;&gt;"OK","CANAL COM PENDÊNCIA",IF(COUNTIFS($B$6:$B$305,$B108,$E$6:$E$305,$E108)&gt;1,"SKU/CANAL DUPLICADO",IF(IFERROR(OR(NOT(ISNUMBER($F108)),$F108&lt;0,MOD($F108,1)&lt;&gt;0),TRUE),"SALDO PUBLICADO INVÁLIDO",IF(IFERROR(OR(NOT(ISNUMBER($G108)),$G108&lt;0,MOD($G108,1)&lt;&gt;0),TRUE),"PEDIDOS PENDENTES INVÁLIDOS",IF(IFERROR(OR(NOT(ISNUMBER($R108)),$R108&gt;'Configurações'!$B$5),TRUE),"DATA INVÁLIDA","OK")))))))))))))</f>
        <v/>
      </c>
    </row>
    <row r="109">
      <c r="A109" s="21" t="n"/>
      <c r="B109" s="21" t="n"/>
      <c r="C109" s="27">
        <f>IFERROR(VLOOKUP($B109,'Estoque Central'!$A$6:$M$205,2,FALSE),"")</f>
        <v/>
      </c>
      <c r="D109" s="25">
        <f>IFERROR(VLOOKUP($B109,'Estoque Central'!$A$6:$M$205,3,FALSE),"")</f>
        <v/>
      </c>
      <c r="E109" s="21" t="n"/>
      <c r="F109" s="22" t="n"/>
      <c r="G109" s="22" t="n"/>
      <c r="H109" s="25">
        <f>IFERROR(VLOOKUP($E109,'Configurações'!$A$11:$F$20,2,FALSE),"")</f>
        <v/>
      </c>
      <c r="I109" s="28">
        <f>IFERROR(VLOOKUP($E109,'Configurações'!$A$11:$F$20,3,FALSE),"")</f>
        <v/>
      </c>
      <c r="J109" s="24">
        <f>IFERROR(VLOOKUP($E109,'Configurações'!$A$11:$F$20,4,FALSE),"")</f>
        <v/>
      </c>
      <c r="K109" s="24">
        <f>IFERROR(VLOOKUP($E109,'Configurações'!$A$11:$F$20,5,FALSE),"")</f>
        <v/>
      </c>
      <c r="L109" s="24">
        <f>IFERROR(VLOOKUP($B109,'Estoque Central'!$A$6:$M$205,9,FALSE),"")</f>
        <v/>
      </c>
      <c r="M109" s="24">
        <f>IF(COUNTA($A109:$B109,$E109:$G109,$R109)=0,"",IFERROR(IF(OR($C109="",$H109=""),"",IF(OR($D109&lt;&gt;"Ativo",$H109&lt;&gt;"Sim"),0,MIN(IF($J109="",$L109,$J109),ROUNDDOWN($L109*$I109,0)))),""))</f>
        <v/>
      </c>
      <c r="N109" s="24">
        <f>IF(OR($M109="",NOT(ISNUMBER($F109))),"",$M109-$F109)</f>
        <v/>
      </c>
      <c r="O109" s="25">
        <f>IF(COUNTA($A109:$B109,$E109:$G109,$R109)=0,"",IF($S109&lt;&gt;"OK","REVISAR CADASTRO",IF($N109&gt;0,"AUMENTAR",IF($N109&lt;0,"REDUZIR","SEM AÇÃO"))))</f>
        <v/>
      </c>
      <c r="P109" s="25">
        <f>IF(COUNTA($A109:$B109,$E109:$G109,$R109)=0,"",IF($S109&lt;&gt;"OK","REVISAR",IF(OR($D109&lt;&gt;"Ativo",$H109&lt;&gt;"Sim"),IF($F109&gt;0,"ALTO","SEM EXPOSIÇÃO"),IF(OR($F109&gt;$M109,SUMIFS($F$6:$F$305,$B$6:$B$305,$B109,$S$6:$S$305,"OK")&gt;$L109),"ALTO",IF(AND($F109&gt;0,$L109&lt;=$K109),"MÉDIO","BAIXO")))))</f>
        <v/>
      </c>
      <c r="Q109" s="25">
        <f>IF(COUNTA($A109:$B109,$E109:$G109,$R109)=0,"",IF($S109&lt;&gt;"OK","REVISAR",IF($O109="SEM AÇÃO","BAIXA",IF(OR($P109="ALTO",ABS($N109)&gt;='Configurações'!$B$3),"URGENTE",IF(OR($P109="MÉDIO",'Configurações'!$B$5-$R109&gt;'Configurações'!$B$4),"ALTA","NORMAL")))))</f>
        <v/>
      </c>
      <c r="R109" s="23" t="n"/>
      <c r="S109" s="25">
        <f>IF(COUNTA($A109:$B109,$E109:$G109,$R109)=0,"",IF($A109="","ID AUSENTE",IF(COUNTIF($A$6:$A$305,$A109)&gt;1,"ID DUPLICADO",IF($B109="","SKU AUSENTE",IF(COUNTIF('Estoque Central'!$A$6:$A$205,$B109)=0,"SKU NÃO CADASTRADO",IF(IFERROR(VLOOKUP($B109,'Estoque Central'!$A$6:$M$205,13,FALSE),"")&lt;&gt;"OK","ESTOQUE CENTRAL COM PENDÊNCIA",IF($E109="","CANAL AUSENTE",IF(COUNTIF('Configurações'!$A$11:$A$20,$E109)=0,"CANAL NÃO CONFIGURADO",IF(IFERROR(VLOOKUP($E109,'Configurações'!$A$11:$F$20,6,FALSE),"")&lt;&gt;"OK","CANAL COM PENDÊNCIA",IF(COUNTIFS($B$6:$B$305,$B109,$E$6:$E$305,$E109)&gt;1,"SKU/CANAL DUPLICADO",IF(IFERROR(OR(NOT(ISNUMBER($F109)),$F109&lt;0,MOD($F109,1)&lt;&gt;0),TRUE),"SALDO PUBLICADO INVÁLIDO",IF(IFERROR(OR(NOT(ISNUMBER($G109)),$G109&lt;0,MOD($G109,1)&lt;&gt;0),TRUE),"PEDIDOS PENDENTES INVÁLIDOS",IF(IFERROR(OR(NOT(ISNUMBER($R109)),$R109&gt;'Configurações'!$B$5),TRUE),"DATA INVÁLIDA","OK")))))))))))))</f>
        <v/>
      </c>
    </row>
    <row r="110">
      <c r="A110" s="21" t="n"/>
      <c r="B110" s="21" t="n"/>
      <c r="C110" s="27">
        <f>IFERROR(VLOOKUP($B110,'Estoque Central'!$A$6:$M$205,2,FALSE),"")</f>
        <v/>
      </c>
      <c r="D110" s="25">
        <f>IFERROR(VLOOKUP($B110,'Estoque Central'!$A$6:$M$205,3,FALSE),"")</f>
        <v/>
      </c>
      <c r="E110" s="21" t="n"/>
      <c r="F110" s="22" t="n"/>
      <c r="G110" s="22" t="n"/>
      <c r="H110" s="25">
        <f>IFERROR(VLOOKUP($E110,'Configurações'!$A$11:$F$20,2,FALSE),"")</f>
        <v/>
      </c>
      <c r="I110" s="28">
        <f>IFERROR(VLOOKUP($E110,'Configurações'!$A$11:$F$20,3,FALSE),"")</f>
        <v/>
      </c>
      <c r="J110" s="24">
        <f>IFERROR(VLOOKUP($E110,'Configurações'!$A$11:$F$20,4,FALSE),"")</f>
        <v/>
      </c>
      <c r="K110" s="24">
        <f>IFERROR(VLOOKUP($E110,'Configurações'!$A$11:$F$20,5,FALSE),"")</f>
        <v/>
      </c>
      <c r="L110" s="24">
        <f>IFERROR(VLOOKUP($B110,'Estoque Central'!$A$6:$M$205,9,FALSE),"")</f>
        <v/>
      </c>
      <c r="M110" s="24">
        <f>IF(COUNTA($A110:$B110,$E110:$G110,$R110)=0,"",IFERROR(IF(OR($C110="",$H110=""),"",IF(OR($D110&lt;&gt;"Ativo",$H110&lt;&gt;"Sim"),0,MIN(IF($J110="",$L110,$J110),ROUNDDOWN($L110*$I110,0)))),""))</f>
        <v/>
      </c>
      <c r="N110" s="24">
        <f>IF(OR($M110="",NOT(ISNUMBER($F110))),"",$M110-$F110)</f>
        <v/>
      </c>
      <c r="O110" s="25">
        <f>IF(COUNTA($A110:$B110,$E110:$G110,$R110)=0,"",IF($S110&lt;&gt;"OK","REVISAR CADASTRO",IF($N110&gt;0,"AUMENTAR",IF($N110&lt;0,"REDUZIR","SEM AÇÃO"))))</f>
        <v/>
      </c>
      <c r="P110" s="25">
        <f>IF(COUNTA($A110:$B110,$E110:$G110,$R110)=0,"",IF($S110&lt;&gt;"OK","REVISAR",IF(OR($D110&lt;&gt;"Ativo",$H110&lt;&gt;"Sim"),IF($F110&gt;0,"ALTO","SEM EXPOSIÇÃO"),IF(OR($F110&gt;$M110,SUMIFS($F$6:$F$305,$B$6:$B$305,$B110,$S$6:$S$305,"OK")&gt;$L110),"ALTO",IF(AND($F110&gt;0,$L110&lt;=$K110),"MÉDIO","BAIXO")))))</f>
        <v/>
      </c>
      <c r="Q110" s="25">
        <f>IF(COUNTA($A110:$B110,$E110:$G110,$R110)=0,"",IF($S110&lt;&gt;"OK","REVISAR",IF($O110="SEM AÇÃO","BAIXA",IF(OR($P110="ALTO",ABS($N110)&gt;='Configurações'!$B$3),"URGENTE",IF(OR($P110="MÉDIO",'Configurações'!$B$5-$R110&gt;'Configurações'!$B$4),"ALTA","NORMAL")))))</f>
        <v/>
      </c>
      <c r="R110" s="23" t="n"/>
      <c r="S110" s="25">
        <f>IF(COUNTA($A110:$B110,$E110:$G110,$R110)=0,"",IF($A110="","ID AUSENTE",IF(COUNTIF($A$6:$A$305,$A110)&gt;1,"ID DUPLICADO",IF($B110="","SKU AUSENTE",IF(COUNTIF('Estoque Central'!$A$6:$A$205,$B110)=0,"SKU NÃO CADASTRADO",IF(IFERROR(VLOOKUP($B110,'Estoque Central'!$A$6:$M$205,13,FALSE),"")&lt;&gt;"OK","ESTOQUE CENTRAL COM PENDÊNCIA",IF($E110="","CANAL AUSENTE",IF(COUNTIF('Configurações'!$A$11:$A$20,$E110)=0,"CANAL NÃO CONFIGURADO",IF(IFERROR(VLOOKUP($E110,'Configurações'!$A$11:$F$20,6,FALSE),"")&lt;&gt;"OK","CANAL COM PENDÊNCIA",IF(COUNTIFS($B$6:$B$305,$B110,$E$6:$E$305,$E110)&gt;1,"SKU/CANAL DUPLICADO",IF(IFERROR(OR(NOT(ISNUMBER($F110)),$F110&lt;0,MOD($F110,1)&lt;&gt;0),TRUE),"SALDO PUBLICADO INVÁLIDO",IF(IFERROR(OR(NOT(ISNUMBER($G110)),$G110&lt;0,MOD($G110,1)&lt;&gt;0),TRUE),"PEDIDOS PENDENTES INVÁLIDOS",IF(IFERROR(OR(NOT(ISNUMBER($R110)),$R110&gt;'Configurações'!$B$5),TRUE),"DATA INVÁLIDA","OK")))))))))))))</f>
        <v/>
      </c>
    </row>
    <row r="111">
      <c r="A111" s="21" t="n"/>
      <c r="B111" s="21" t="n"/>
      <c r="C111" s="27">
        <f>IFERROR(VLOOKUP($B111,'Estoque Central'!$A$6:$M$205,2,FALSE),"")</f>
        <v/>
      </c>
      <c r="D111" s="25">
        <f>IFERROR(VLOOKUP($B111,'Estoque Central'!$A$6:$M$205,3,FALSE),"")</f>
        <v/>
      </c>
      <c r="E111" s="21" t="n"/>
      <c r="F111" s="22" t="n"/>
      <c r="G111" s="22" t="n"/>
      <c r="H111" s="25">
        <f>IFERROR(VLOOKUP($E111,'Configurações'!$A$11:$F$20,2,FALSE),"")</f>
        <v/>
      </c>
      <c r="I111" s="28">
        <f>IFERROR(VLOOKUP($E111,'Configurações'!$A$11:$F$20,3,FALSE),"")</f>
        <v/>
      </c>
      <c r="J111" s="24">
        <f>IFERROR(VLOOKUP($E111,'Configurações'!$A$11:$F$20,4,FALSE),"")</f>
        <v/>
      </c>
      <c r="K111" s="24">
        <f>IFERROR(VLOOKUP($E111,'Configurações'!$A$11:$F$20,5,FALSE),"")</f>
        <v/>
      </c>
      <c r="L111" s="24">
        <f>IFERROR(VLOOKUP($B111,'Estoque Central'!$A$6:$M$205,9,FALSE),"")</f>
        <v/>
      </c>
      <c r="M111" s="24">
        <f>IF(COUNTA($A111:$B111,$E111:$G111,$R111)=0,"",IFERROR(IF(OR($C111="",$H111=""),"",IF(OR($D111&lt;&gt;"Ativo",$H111&lt;&gt;"Sim"),0,MIN(IF($J111="",$L111,$J111),ROUNDDOWN($L111*$I111,0)))),""))</f>
        <v/>
      </c>
      <c r="N111" s="24">
        <f>IF(OR($M111="",NOT(ISNUMBER($F111))),"",$M111-$F111)</f>
        <v/>
      </c>
      <c r="O111" s="25">
        <f>IF(COUNTA($A111:$B111,$E111:$G111,$R111)=0,"",IF($S111&lt;&gt;"OK","REVISAR CADASTRO",IF($N111&gt;0,"AUMENTAR",IF($N111&lt;0,"REDUZIR","SEM AÇÃO"))))</f>
        <v/>
      </c>
      <c r="P111" s="25">
        <f>IF(COUNTA($A111:$B111,$E111:$G111,$R111)=0,"",IF($S111&lt;&gt;"OK","REVISAR",IF(OR($D111&lt;&gt;"Ativo",$H111&lt;&gt;"Sim"),IF($F111&gt;0,"ALTO","SEM EXPOSIÇÃO"),IF(OR($F111&gt;$M111,SUMIFS($F$6:$F$305,$B$6:$B$305,$B111,$S$6:$S$305,"OK")&gt;$L111),"ALTO",IF(AND($F111&gt;0,$L111&lt;=$K111),"MÉDIO","BAIXO")))))</f>
        <v/>
      </c>
      <c r="Q111" s="25">
        <f>IF(COUNTA($A111:$B111,$E111:$G111,$R111)=0,"",IF($S111&lt;&gt;"OK","REVISAR",IF($O111="SEM AÇÃO","BAIXA",IF(OR($P111="ALTO",ABS($N111)&gt;='Configurações'!$B$3),"URGENTE",IF(OR($P111="MÉDIO",'Configurações'!$B$5-$R111&gt;'Configurações'!$B$4),"ALTA","NORMAL")))))</f>
        <v/>
      </c>
      <c r="R111" s="23" t="n"/>
      <c r="S111" s="25">
        <f>IF(COUNTA($A111:$B111,$E111:$G111,$R111)=0,"",IF($A111="","ID AUSENTE",IF(COUNTIF($A$6:$A$305,$A111)&gt;1,"ID DUPLICADO",IF($B111="","SKU AUSENTE",IF(COUNTIF('Estoque Central'!$A$6:$A$205,$B111)=0,"SKU NÃO CADASTRADO",IF(IFERROR(VLOOKUP($B111,'Estoque Central'!$A$6:$M$205,13,FALSE),"")&lt;&gt;"OK","ESTOQUE CENTRAL COM PENDÊNCIA",IF($E111="","CANAL AUSENTE",IF(COUNTIF('Configurações'!$A$11:$A$20,$E111)=0,"CANAL NÃO CONFIGURADO",IF(IFERROR(VLOOKUP($E111,'Configurações'!$A$11:$F$20,6,FALSE),"")&lt;&gt;"OK","CANAL COM PENDÊNCIA",IF(COUNTIFS($B$6:$B$305,$B111,$E$6:$E$305,$E111)&gt;1,"SKU/CANAL DUPLICADO",IF(IFERROR(OR(NOT(ISNUMBER($F111)),$F111&lt;0,MOD($F111,1)&lt;&gt;0),TRUE),"SALDO PUBLICADO INVÁLIDO",IF(IFERROR(OR(NOT(ISNUMBER($G111)),$G111&lt;0,MOD($G111,1)&lt;&gt;0),TRUE),"PEDIDOS PENDENTES INVÁLIDOS",IF(IFERROR(OR(NOT(ISNUMBER($R111)),$R111&gt;'Configurações'!$B$5),TRUE),"DATA INVÁLIDA","OK")))))))))))))</f>
        <v/>
      </c>
    </row>
    <row r="112">
      <c r="A112" s="21" t="n"/>
      <c r="B112" s="21" t="n"/>
      <c r="C112" s="27">
        <f>IFERROR(VLOOKUP($B112,'Estoque Central'!$A$6:$M$205,2,FALSE),"")</f>
        <v/>
      </c>
      <c r="D112" s="25">
        <f>IFERROR(VLOOKUP($B112,'Estoque Central'!$A$6:$M$205,3,FALSE),"")</f>
        <v/>
      </c>
      <c r="E112" s="21" t="n"/>
      <c r="F112" s="22" t="n"/>
      <c r="G112" s="22" t="n"/>
      <c r="H112" s="25">
        <f>IFERROR(VLOOKUP($E112,'Configurações'!$A$11:$F$20,2,FALSE),"")</f>
        <v/>
      </c>
      <c r="I112" s="28">
        <f>IFERROR(VLOOKUP($E112,'Configurações'!$A$11:$F$20,3,FALSE),"")</f>
        <v/>
      </c>
      <c r="J112" s="24">
        <f>IFERROR(VLOOKUP($E112,'Configurações'!$A$11:$F$20,4,FALSE),"")</f>
        <v/>
      </c>
      <c r="K112" s="24">
        <f>IFERROR(VLOOKUP($E112,'Configurações'!$A$11:$F$20,5,FALSE),"")</f>
        <v/>
      </c>
      <c r="L112" s="24">
        <f>IFERROR(VLOOKUP($B112,'Estoque Central'!$A$6:$M$205,9,FALSE),"")</f>
        <v/>
      </c>
      <c r="M112" s="24">
        <f>IF(COUNTA($A112:$B112,$E112:$G112,$R112)=0,"",IFERROR(IF(OR($C112="",$H112=""),"",IF(OR($D112&lt;&gt;"Ativo",$H112&lt;&gt;"Sim"),0,MIN(IF($J112="",$L112,$J112),ROUNDDOWN($L112*$I112,0)))),""))</f>
        <v/>
      </c>
      <c r="N112" s="24">
        <f>IF(OR($M112="",NOT(ISNUMBER($F112))),"",$M112-$F112)</f>
        <v/>
      </c>
      <c r="O112" s="25">
        <f>IF(COUNTA($A112:$B112,$E112:$G112,$R112)=0,"",IF($S112&lt;&gt;"OK","REVISAR CADASTRO",IF($N112&gt;0,"AUMENTAR",IF($N112&lt;0,"REDUZIR","SEM AÇÃO"))))</f>
        <v/>
      </c>
      <c r="P112" s="25">
        <f>IF(COUNTA($A112:$B112,$E112:$G112,$R112)=0,"",IF($S112&lt;&gt;"OK","REVISAR",IF(OR($D112&lt;&gt;"Ativo",$H112&lt;&gt;"Sim"),IF($F112&gt;0,"ALTO","SEM EXPOSIÇÃO"),IF(OR($F112&gt;$M112,SUMIFS($F$6:$F$305,$B$6:$B$305,$B112,$S$6:$S$305,"OK")&gt;$L112),"ALTO",IF(AND($F112&gt;0,$L112&lt;=$K112),"MÉDIO","BAIXO")))))</f>
        <v/>
      </c>
      <c r="Q112" s="25">
        <f>IF(COUNTA($A112:$B112,$E112:$G112,$R112)=0,"",IF($S112&lt;&gt;"OK","REVISAR",IF($O112="SEM AÇÃO","BAIXA",IF(OR($P112="ALTO",ABS($N112)&gt;='Configurações'!$B$3),"URGENTE",IF(OR($P112="MÉDIO",'Configurações'!$B$5-$R112&gt;'Configurações'!$B$4),"ALTA","NORMAL")))))</f>
        <v/>
      </c>
      <c r="R112" s="23" t="n"/>
      <c r="S112" s="25">
        <f>IF(COUNTA($A112:$B112,$E112:$G112,$R112)=0,"",IF($A112="","ID AUSENTE",IF(COUNTIF($A$6:$A$305,$A112)&gt;1,"ID DUPLICADO",IF($B112="","SKU AUSENTE",IF(COUNTIF('Estoque Central'!$A$6:$A$205,$B112)=0,"SKU NÃO CADASTRADO",IF(IFERROR(VLOOKUP($B112,'Estoque Central'!$A$6:$M$205,13,FALSE),"")&lt;&gt;"OK","ESTOQUE CENTRAL COM PENDÊNCIA",IF($E112="","CANAL AUSENTE",IF(COUNTIF('Configurações'!$A$11:$A$20,$E112)=0,"CANAL NÃO CONFIGURADO",IF(IFERROR(VLOOKUP($E112,'Configurações'!$A$11:$F$20,6,FALSE),"")&lt;&gt;"OK","CANAL COM PENDÊNCIA",IF(COUNTIFS($B$6:$B$305,$B112,$E$6:$E$305,$E112)&gt;1,"SKU/CANAL DUPLICADO",IF(IFERROR(OR(NOT(ISNUMBER($F112)),$F112&lt;0,MOD($F112,1)&lt;&gt;0),TRUE),"SALDO PUBLICADO INVÁLIDO",IF(IFERROR(OR(NOT(ISNUMBER($G112)),$G112&lt;0,MOD($G112,1)&lt;&gt;0),TRUE),"PEDIDOS PENDENTES INVÁLIDOS",IF(IFERROR(OR(NOT(ISNUMBER($R112)),$R112&gt;'Configurações'!$B$5),TRUE),"DATA INVÁLIDA","OK")))))))))))))</f>
        <v/>
      </c>
    </row>
    <row r="113">
      <c r="A113" s="21" t="n"/>
      <c r="B113" s="21" t="n"/>
      <c r="C113" s="27">
        <f>IFERROR(VLOOKUP($B113,'Estoque Central'!$A$6:$M$205,2,FALSE),"")</f>
        <v/>
      </c>
      <c r="D113" s="25">
        <f>IFERROR(VLOOKUP($B113,'Estoque Central'!$A$6:$M$205,3,FALSE),"")</f>
        <v/>
      </c>
      <c r="E113" s="21" t="n"/>
      <c r="F113" s="22" t="n"/>
      <c r="G113" s="22" t="n"/>
      <c r="H113" s="25">
        <f>IFERROR(VLOOKUP($E113,'Configurações'!$A$11:$F$20,2,FALSE),"")</f>
        <v/>
      </c>
      <c r="I113" s="28">
        <f>IFERROR(VLOOKUP($E113,'Configurações'!$A$11:$F$20,3,FALSE),"")</f>
        <v/>
      </c>
      <c r="J113" s="24">
        <f>IFERROR(VLOOKUP($E113,'Configurações'!$A$11:$F$20,4,FALSE),"")</f>
        <v/>
      </c>
      <c r="K113" s="24">
        <f>IFERROR(VLOOKUP($E113,'Configurações'!$A$11:$F$20,5,FALSE),"")</f>
        <v/>
      </c>
      <c r="L113" s="24">
        <f>IFERROR(VLOOKUP($B113,'Estoque Central'!$A$6:$M$205,9,FALSE),"")</f>
        <v/>
      </c>
      <c r="M113" s="24">
        <f>IF(COUNTA($A113:$B113,$E113:$G113,$R113)=0,"",IFERROR(IF(OR($C113="",$H113=""),"",IF(OR($D113&lt;&gt;"Ativo",$H113&lt;&gt;"Sim"),0,MIN(IF($J113="",$L113,$J113),ROUNDDOWN($L113*$I113,0)))),""))</f>
        <v/>
      </c>
      <c r="N113" s="24">
        <f>IF(OR($M113="",NOT(ISNUMBER($F113))),"",$M113-$F113)</f>
        <v/>
      </c>
      <c r="O113" s="25">
        <f>IF(COUNTA($A113:$B113,$E113:$G113,$R113)=0,"",IF($S113&lt;&gt;"OK","REVISAR CADASTRO",IF($N113&gt;0,"AUMENTAR",IF($N113&lt;0,"REDUZIR","SEM AÇÃO"))))</f>
        <v/>
      </c>
      <c r="P113" s="25">
        <f>IF(COUNTA($A113:$B113,$E113:$G113,$R113)=0,"",IF($S113&lt;&gt;"OK","REVISAR",IF(OR($D113&lt;&gt;"Ativo",$H113&lt;&gt;"Sim"),IF($F113&gt;0,"ALTO","SEM EXPOSIÇÃO"),IF(OR($F113&gt;$M113,SUMIFS($F$6:$F$305,$B$6:$B$305,$B113,$S$6:$S$305,"OK")&gt;$L113),"ALTO",IF(AND($F113&gt;0,$L113&lt;=$K113),"MÉDIO","BAIXO")))))</f>
        <v/>
      </c>
      <c r="Q113" s="25">
        <f>IF(COUNTA($A113:$B113,$E113:$G113,$R113)=0,"",IF($S113&lt;&gt;"OK","REVISAR",IF($O113="SEM AÇÃO","BAIXA",IF(OR($P113="ALTO",ABS($N113)&gt;='Configurações'!$B$3),"URGENTE",IF(OR($P113="MÉDIO",'Configurações'!$B$5-$R113&gt;'Configurações'!$B$4),"ALTA","NORMAL")))))</f>
        <v/>
      </c>
      <c r="R113" s="23" t="n"/>
      <c r="S113" s="25">
        <f>IF(COUNTA($A113:$B113,$E113:$G113,$R113)=0,"",IF($A113="","ID AUSENTE",IF(COUNTIF($A$6:$A$305,$A113)&gt;1,"ID DUPLICADO",IF($B113="","SKU AUSENTE",IF(COUNTIF('Estoque Central'!$A$6:$A$205,$B113)=0,"SKU NÃO CADASTRADO",IF(IFERROR(VLOOKUP($B113,'Estoque Central'!$A$6:$M$205,13,FALSE),"")&lt;&gt;"OK","ESTOQUE CENTRAL COM PENDÊNCIA",IF($E113="","CANAL AUSENTE",IF(COUNTIF('Configurações'!$A$11:$A$20,$E113)=0,"CANAL NÃO CONFIGURADO",IF(IFERROR(VLOOKUP($E113,'Configurações'!$A$11:$F$20,6,FALSE),"")&lt;&gt;"OK","CANAL COM PENDÊNCIA",IF(COUNTIFS($B$6:$B$305,$B113,$E$6:$E$305,$E113)&gt;1,"SKU/CANAL DUPLICADO",IF(IFERROR(OR(NOT(ISNUMBER($F113)),$F113&lt;0,MOD($F113,1)&lt;&gt;0),TRUE),"SALDO PUBLICADO INVÁLIDO",IF(IFERROR(OR(NOT(ISNUMBER($G113)),$G113&lt;0,MOD($G113,1)&lt;&gt;0),TRUE),"PEDIDOS PENDENTES INVÁLIDOS",IF(IFERROR(OR(NOT(ISNUMBER($R113)),$R113&gt;'Configurações'!$B$5),TRUE),"DATA INVÁLIDA","OK")))))))))))))</f>
        <v/>
      </c>
    </row>
    <row r="114">
      <c r="A114" s="21" t="n"/>
      <c r="B114" s="21" t="n"/>
      <c r="C114" s="27">
        <f>IFERROR(VLOOKUP($B114,'Estoque Central'!$A$6:$M$205,2,FALSE),"")</f>
        <v/>
      </c>
      <c r="D114" s="25">
        <f>IFERROR(VLOOKUP($B114,'Estoque Central'!$A$6:$M$205,3,FALSE),"")</f>
        <v/>
      </c>
      <c r="E114" s="21" t="n"/>
      <c r="F114" s="22" t="n"/>
      <c r="G114" s="22" t="n"/>
      <c r="H114" s="25">
        <f>IFERROR(VLOOKUP($E114,'Configurações'!$A$11:$F$20,2,FALSE),"")</f>
        <v/>
      </c>
      <c r="I114" s="28">
        <f>IFERROR(VLOOKUP($E114,'Configurações'!$A$11:$F$20,3,FALSE),"")</f>
        <v/>
      </c>
      <c r="J114" s="24">
        <f>IFERROR(VLOOKUP($E114,'Configurações'!$A$11:$F$20,4,FALSE),"")</f>
        <v/>
      </c>
      <c r="K114" s="24">
        <f>IFERROR(VLOOKUP($E114,'Configurações'!$A$11:$F$20,5,FALSE),"")</f>
        <v/>
      </c>
      <c r="L114" s="24">
        <f>IFERROR(VLOOKUP($B114,'Estoque Central'!$A$6:$M$205,9,FALSE),"")</f>
        <v/>
      </c>
      <c r="M114" s="24">
        <f>IF(COUNTA($A114:$B114,$E114:$G114,$R114)=0,"",IFERROR(IF(OR($C114="",$H114=""),"",IF(OR($D114&lt;&gt;"Ativo",$H114&lt;&gt;"Sim"),0,MIN(IF($J114="",$L114,$J114),ROUNDDOWN($L114*$I114,0)))),""))</f>
        <v/>
      </c>
      <c r="N114" s="24">
        <f>IF(OR($M114="",NOT(ISNUMBER($F114))),"",$M114-$F114)</f>
        <v/>
      </c>
      <c r="O114" s="25">
        <f>IF(COUNTA($A114:$B114,$E114:$G114,$R114)=0,"",IF($S114&lt;&gt;"OK","REVISAR CADASTRO",IF($N114&gt;0,"AUMENTAR",IF($N114&lt;0,"REDUZIR","SEM AÇÃO"))))</f>
        <v/>
      </c>
      <c r="P114" s="25">
        <f>IF(COUNTA($A114:$B114,$E114:$G114,$R114)=0,"",IF($S114&lt;&gt;"OK","REVISAR",IF(OR($D114&lt;&gt;"Ativo",$H114&lt;&gt;"Sim"),IF($F114&gt;0,"ALTO","SEM EXPOSIÇÃO"),IF(OR($F114&gt;$M114,SUMIFS($F$6:$F$305,$B$6:$B$305,$B114,$S$6:$S$305,"OK")&gt;$L114),"ALTO",IF(AND($F114&gt;0,$L114&lt;=$K114),"MÉDIO","BAIXO")))))</f>
        <v/>
      </c>
      <c r="Q114" s="25">
        <f>IF(COUNTA($A114:$B114,$E114:$G114,$R114)=0,"",IF($S114&lt;&gt;"OK","REVISAR",IF($O114="SEM AÇÃO","BAIXA",IF(OR($P114="ALTO",ABS($N114)&gt;='Configurações'!$B$3),"URGENTE",IF(OR($P114="MÉDIO",'Configurações'!$B$5-$R114&gt;'Configurações'!$B$4),"ALTA","NORMAL")))))</f>
        <v/>
      </c>
      <c r="R114" s="23" t="n"/>
      <c r="S114" s="25">
        <f>IF(COUNTA($A114:$B114,$E114:$G114,$R114)=0,"",IF($A114="","ID AUSENTE",IF(COUNTIF($A$6:$A$305,$A114)&gt;1,"ID DUPLICADO",IF($B114="","SKU AUSENTE",IF(COUNTIF('Estoque Central'!$A$6:$A$205,$B114)=0,"SKU NÃO CADASTRADO",IF(IFERROR(VLOOKUP($B114,'Estoque Central'!$A$6:$M$205,13,FALSE),"")&lt;&gt;"OK","ESTOQUE CENTRAL COM PENDÊNCIA",IF($E114="","CANAL AUSENTE",IF(COUNTIF('Configurações'!$A$11:$A$20,$E114)=0,"CANAL NÃO CONFIGURADO",IF(IFERROR(VLOOKUP($E114,'Configurações'!$A$11:$F$20,6,FALSE),"")&lt;&gt;"OK","CANAL COM PENDÊNCIA",IF(COUNTIFS($B$6:$B$305,$B114,$E$6:$E$305,$E114)&gt;1,"SKU/CANAL DUPLICADO",IF(IFERROR(OR(NOT(ISNUMBER($F114)),$F114&lt;0,MOD($F114,1)&lt;&gt;0),TRUE),"SALDO PUBLICADO INVÁLIDO",IF(IFERROR(OR(NOT(ISNUMBER($G114)),$G114&lt;0,MOD($G114,1)&lt;&gt;0),TRUE),"PEDIDOS PENDENTES INVÁLIDOS",IF(IFERROR(OR(NOT(ISNUMBER($R114)),$R114&gt;'Configurações'!$B$5),TRUE),"DATA INVÁLIDA","OK")))))))))))))</f>
        <v/>
      </c>
    </row>
    <row r="115">
      <c r="A115" s="21" t="n"/>
      <c r="B115" s="21" t="n"/>
      <c r="C115" s="27">
        <f>IFERROR(VLOOKUP($B115,'Estoque Central'!$A$6:$M$205,2,FALSE),"")</f>
        <v/>
      </c>
      <c r="D115" s="25">
        <f>IFERROR(VLOOKUP($B115,'Estoque Central'!$A$6:$M$205,3,FALSE),"")</f>
        <v/>
      </c>
      <c r="E115" s="21" t="n"/>
      <c r="F115" s="22" t="n"/>
      <c r="G115" s="22" t="n"/>
      <c r="H115" s="25">
        <f>IFERROR(VLOOKUP($E115,'Configurações'!$A$11:$F$20,2,FALSE),"")</f>
        <v/>
      </c>
      <c r="I115" s="28">
        <f>IFERROR(VLOOKUP($E115,'Configurações'!$A$11:$F$20,3,FALSE),"")</f>
        <v/>
      </c>
      <c r="J115" s="24">
        <f>IFERROR(VLOOKUP($E115,'Configurações'!$A$11:$F$20,4,FALSE),"")</f>
        <v/>
      </c>
      <c r="K115" s="24">
        <f>IFERROR(VLOOKUP($E115,'Configurações'!$A$11:$F$20,5,FALSE),"")</f>
        <v/>
      </c>
      <c r="L115" s="24">
        <f>IFERROR(VLOOKUP($B115,'Estoque Central'!$A$6:$M$205,9,FALSE),"")</f>
        <v/>
      </c>
      <c r="M115" s="24">
        <f>IF(COUNTA($A115:$B115,$E115:$G115,$R115)=0,"",IFERROR(IF(OR($C115="",$H115=""),"",IF(OR($D115&lt;&gt;"Ativo",$H115&lt;&gt;"Sim"),0,MIN(IF($J115="",$L115,$J115),ROUNDDOWN($L115*$I115,0)))),""))</f>
        <v/>
      </c>
      <c r="N115" s="24">
        <f>IF(OR($M115="",NOT(ISNUMBER($F115))),"",$M115-$F115)</f>
        <v/>
      </c>
      <c r="O115" s="25">
        <f>IF(COUNTA($A115:$B115,$E115:$G115,$R115)=0,"",IF($S115&lt;&gt;"OK","REVISAR CADASTRO",IF($N115&gt;0,"AUMENTAR",IF($N115&lt;0,"REDUZIR","SEM AÇÃO"))))</f>
        <v/>
      </c>
      <c r="P115" s="25">
        <f>IF(COUNTA($A115:$B115,$E115:$G115,$R115)=0,"",IF($S115&lt;&gt;"OK","REVISAR",IF(OR($D115&lt;&gt;"Ativo",$H115&lt;&gt;"Sim"),IF($F115&gt;0,"ALTO","SEM EXPOSIÇÃO"),IF(OR($F115&gt;$M115,SUMIFS($F$6:$F$305,$B$6:$B$305,$B115,$S$6:$S$305,"OK")&gt;$L115),"ALTO",IF(AND($F115&gt;0,$L115&lt;=$K115),"MÉDIO","BAIXO")))))</f>
        <v/>
      </c>
      <c r="Q115" s="25">
        <f>IF(COUNTA($A115:$B115,$E115:$G115,$R115)=0,"",IF($S115&lt;&gt;"OK","REVISAR",IF($O115="SEM AÇÃO","BAIXA",IF(OR($P115="ALTO",ABS($N115)&gt;='Configurações'!$B$3),"URGENTE",IF(OR($P115="MÉDIO",'Configurações'!$B$5-$R115&gt;'Configurações'!$B$4),"ALTA","NORMAL")))))</f>
        <v/>
      </c>
      <c r="R115" s="23" t="n"/>
      <c r="S115" s="25">
        <f>IF(COUNTA($A115:$B115,$E115:$G115,$R115)=0,"",IF($A115="","ID AUSENTE",IF(COUNTIF($A$6:$A$305,$A115)&gt;1,"ID DUPLICADO",IF($B115="","SKU AUSENTE",IF(COUNTIF('Estoque Central'!$A$6:$A$205,$B115)=0,"SKU NÃO CADASTRADO",IF(IFERROR(VLOOKUP($B115,'Estoque Central'!$A$6:$M$205,13,FALSE),"")&lt;&gt;"OK","ESTOQUE CENTRAL COM PENDÊNCIA",IF($E115="","CANAL AUSENTE",IF(COUNTIF('Configurações'!$A$11:$A$20,$E115)=0,"CANAL NÃO CONFIGURADO",IF(IFERROR(VLOOKUP($E115,'Configurações'!$A$11:$F$20,6,FALSE),"")&lt;&gt;"OK","CANAL COM PENDÊNCIA",IF(COUNTIFS($B$6:$B$305,$B115,$E$6:$E$305,$E115)&gt;1,"SKU/CANAL DUPLICADO",IF(IFERROR(OR(NOT(ISNUMBER($F115)),$F115&lt;0,MOD($F115,1)&lt;&gt;0),TRUE),"SALDO PUBLICADO INVÁLIDO",IF(IFERROR(OR(NOT(ISNUMBER($G115)),$G115&lt;0,MOD($G115,1)&lt;&gt;0),TRUE),"PEDIDOS PENDENTES INVÁLIDOS",IF(IFERROR(OR(NOT(ISNUMBER($R115)),$R115&gt;'Configurações'!$B$5),TRUE),"DATA INVÁLIDA","OK")))))))))))))</f>
        <v/>
      </c>
    </row>
    <row r="116">
      <c r="A116" s="21" t="n"/>
      <c r="B116" s="21" t="n"/>
      <c r="C116" s="27">
        <f>IFERROR(VLOOKUP($B116,'Estoque Central'!$A$6:$M$205,2,FALSE),"")</f>
        <v/>
      </c>
      <c r="D116" s="25">
        <f>IFERROR(VLOOKUP($B116,'Estoque Central'!$A$6:$M$205,3,FALSE),"")</f>
        <v/>
      </c>
      <c r="E116" s="21" t="n"/>
      <c r="F116" s="22" t="n"/>
      <c r="G116" s="22" t="n"/>
      <c r="H116" s="25">
        <f>IFERROR(VLOOKUP($E116,'Configurações'!$A$11:$F$20,2,FALSE),"")</f>
        <v/>
      </c>
      <c r="I116" s="28">
        <f>IFERROR(VLOOKUP($E116,'Configurações'!$A$11:$F$20,3,FALSE),"")</f>
        <v/>
      </c>
      <c r="J116" s="24">
        <f>IFERROR(VLOOKUP($E116,'Configurações'!$A$11:$F$20,4,FALSE),"")</f>
        <v/>
      </c>
      <c r="K116" s="24">
        <f>IFERROR(VLOOKUP($E116,'Configurações'!$A$11:$F$20,5,FALSE),"")</f>
        <v/>
      </c>
      <c r="L116" s="24">
        <f>IFERROR(VLOOKUP($B116,'Estoque Central'!$A$6:$M$205,9,FALSE),"")</f>
        <v/>
      </c>
      <c r="M116" s="24">
        <f>IF(COUNTA($A116:$B116,$E116:$G116,$R116)=0,"",IFERROR(IF(OR($C116="",$H116=""),"",IF(OR($D116&lt;&gt;"Ativo",$H116&lt;&gt;"Sim"),0,MIN(IF($J116="",$L116,$J116),ROUNDDOWN($L116*$I116,0)))),""))</f>
        <v/>
      </c>
      <c r="N116" s="24">
        <f>IF(OR($M116="",NOT(ISNUMBER($F116))),"",$M116-$F116)</f>
        <v/>
      </c>
      <c r="O116" s="25">
        <f>IF(COUNTA($A116:$B116,$E116:$G116,$R116)=0,"",IF($S116&lt;&gt;"OK","REVISAR CADASTRO",IF($N116&gt;0,"AUMENTAR",IF($N116&lt;0,"REDUZIR","SEM AÇÃO"))))</f>
        <v/>
      </c>
      <c r="P116" s="25">
        <f>IF(COUNTA($A116:$B116,$E116:$G116,$R116)=0,"",IF($S116&lt;&gt;"OK","REVISAR",IF(OR($D116&lt;&gt;"Ativo",$H116&lt;&gt;"Sim"),IF($F116&gt;0,"ALTO","SEM EXPOSIÇÃO"),IF(OR($F116&gt;$M116,SUMIFS($F$6:$F$305,$B$6:$B$305,$B116,$S$6:$S$305,"OK")&gt;$L116),"ALTO",IF(AND($F116&gt;0,$L116&lt;=$K116),"MÉDIO","BAIXO")))))</f>
        <v/>
      </c>
      <c r="Q116" s="25">
        <f>IF(COUNTA($A116:$B116,$E116:$G116,$R116)=0,"",IF($S116&lt;&gt;"OK","REVISAR",IF($O116="SEM AÇÃO","BAIXA",IF(OR($P116="ALTO",ABS($N116)&gt;='Configurações'!$B$3),"URGENTE",IF(OR($P116="MÉDIO",'Configurações'!$B$5-$R116&gt;'Configurações'!$B$4),"ALTA","NORMAL")))))</f>
        <v/>
      </c>
      <c r="R116" s="23" t="n"/>
      <c r="S116" s="25">
        <f>IF(COUNTA($A116:$B116,$E116:$G116,$R116)=0,"",IF($A116="","ID AUSENTE",IF(COUNTIF($A$6:$A$305,$A116)&gt;1,"ID DUPLICADO",IF($B116="","SKU AUSENTE",IF(COUNTIF('Estoque Central'!$A$6:$A$205,$B116)=0,"SKU NÃO CADASTRADO",IF(IFERROR(VLOOKUP($B116,'Estoque Central'!$A$6:$M$205,13,FALSE),"")&lt;&gt;"OK","ESTOQUE CENTRAL COM PENDÊNCIA",IF($E116="","CANAL AUSENTE",IF(COUNTIF('Configurações'!$A$11:$A$20,$E116)=0,"CANAL NÃO CONFIGURADO",IF(IFERROR(VLOOKUP($E116,'Configurações'!$A$11:$F$20,6,FALSE),"")&lt;&gt;"OK","CANAL COM PENDÊNCIA",IF(COUNTIFS($B$6:$B$305,$B116,$E$6:$E$305,$E116)&gt;1,"SKU/CANAL DUPLICADO",IF(IFERROR(OR(NOT(ISNUMBER($F116)),$F116&lt;0,MOD($F116,1)&lt;&gt;0),TRUE),"SALDO PUBLICADO INVÁLIDO",IF(IFERROR(OR(NOT(ISNUMBER($G116)),$G116&lt;0,MOD($G116,1)&lt;&gt;0),TRUE),"PEDIDOS PENDENTES INVÁLIDOS",IF(IFERROR(OR(NOT(ISNUMBER($R116)),$R116&gt;'Configurações'!$B$5),TRUE),"DATA INVÁLIDA","OK")))))))))))))</f>
        <v/>
      </c>
    </row>
    <row r="117">
      <c r="A117" s="21" t="n"/>
      <c r="B117" s="21" t="n"/>
      <c r="C117" s="27">
        <f>IFERROR(VLOOKUP($B117,'Estoque Central'!$A$6:$M$205,2,FALSE),"")</f>
        <v/>
      </c>
      <c r="D117" s="25">
        <f>IFERROR(VLOOKUP($B117,'Estoque Central'!$A$6:$M$205,3,FALSE),"")</f>
        <v/>
      </c>
      <c r="E117" s="21" t="n"/>
      <c r="F117" s="22" t="n"/>
      <c r="G117" s="22" t="n"/>
      <c r="H117" s="25">
        <f>IFERROR(VLOOKUP($E117,'Configurações'!$A$11:$F$20,2,FALSE),"")</f>
        <v/>
      </c>
      <c r="I117" s="28">
        <f>IFERROR(VLOOKUP($E117,'Configurações'!$A$11:$F$20,3,FALSE),"")</f>
        <v/>
      </c>
      <c r="J117" s="24">
        <f>IFERROR(VLOOKUP($E117,'Configurações'!$A$11:$F$20,4,FALSE),"")</f>
        <v/>
      </c>
      <c r="K117" s="24">
        <f>IFERROR(VLOOKUP($E117,'Configurações'!$A$11:$F$20,5,FALSE),"")</f>
        <v/>
      </c>
      <c r="L117" s="24">
        <f>IFERROR(VLOOKUP($B117,'Estoque Central'!$A$6:$M$205,9,FALSE),"")</f>
        <v/>
      </c>
      <c r="M117" s="24">
        <f>IF(COUNTA($A117:$B117,$E117:$G117,$R117)=0,"",IFERROR(IF(OR($C117="",$H117=""),"",IF(OR($D117&lt;&gt;"Ativo",$H117&lt;&gt;"Sim"),0,MIN(IF($J117="",$L117,$J117),ROUNDDOWN($L117*$I117,0)))),""))</f>
        <v/>
      </c>
      <c r="N117" s="24">
        <f>IF(OR($M117="",NOT(ISNUMBER($F117))),"",$M117-$F117)</f>
        <v/>
      </c>
      <c r="O117" s="25">
        <f>IF(COUNTA($A117:$B117,$E117:$G117,$R117)=0,"",IF($S117&lt;&gt;"OK","REVISAR CADASTRO",IF($N117&gt;0,"AUMENTAR",IF($N117&lt;0,"REDUZIR","SEM AÇÃO"))))</f>
        <v/>
      </c>
      <c r="P117" s="25">
        <f>IF(COUNTA($A117:$B117,$E117:$G117,$R117)=0,"",IF($S117&lt;&gt;"OK","REVISAR",IF(OR($D117&lt;&gt;"Ativo",$H117&lt;&gt;"Sim"),IF($F117&gt;0,"ALTO","SEM EXPOSIÇÃO"),IF(OR($F117&gt;$M117,SUMIFS($F$6:$F$305,$B$6:$B$305,$B117,$S$6:$S$305,"OK")&gt;$L117),"ALTO",IF(AND($F117&gt;0,$L117&lt;=$K117),"MÉDIO","BAIXO")))))</f>
        <v/>
      </c>
      <c r="Q117" s="25">
        <f>IF(COUNTA($A117:$B117,$E117:$G117,$R117)=0,"",IF($S117&lt;&gt;"OK","REVISAR",IF($O117="SEM AÇÃO","BAIXA",IF(OR($P117="ALTO",ABS($N117)&gt;='Configurações'!$B$3),"URGENTE",IF(OR($P117="MÉDIO",'Configurações'!$B$5-$R117&gt;'Configurações'!$B$4),"ALTA","NORMAL")))))</f>
        <v/>
      </c>
      <c r="R117" s="23" t="n"/>
      <c r="S117" s="25">
        <f>IF(COUNTA($A117:$B117,$E117:$G117,$R117)=0,"",IF($A117="","ID AUSENTE",IF(COUNTIF($A$6:$A$305,$A117)&gt;1,"ID DUPLICADO",IF($B117="","SKU AUSENTE",IF(COUNTIF('Estoque Central'!$A$6:$A$205,$B117)=0,"SKU NÃO CADASTRADO",IF(IFERROR(VLOOKUP($B117,'Estoque Central'!$A$6:$M$205,13,FALSE),"")&lt;&gt;"OK","ESTOQUE CENTRAL COM PENDÊNCIA",IF($E117="","CANAL AUSENTE",IF(COUNTIF('Configurações'!$A$11:$A$20,$E117)=0,"CANAL NÃO CONFIGURADO",IF(IFERROR(VLOOKUP($E117,'Configurações'!$A$11:$F$20,6,FALSE),"")&lt;&gt;"OK","CANAL COM PENDÊNCIA",IF(COUNTIFS($B$6:$B$305,$B117,$E$6:$E$305,$E117)&gt;1,"SKU/CANAL DUPLICADO",IF(IFERROR(OR(NOT(ISNUMBER($F117)),$F117&lt;0,MOD($F117,1)&lt;&gt;0),TRUE),"SALDO PUBLICADO INVÁLIDO",IF(IFERROR(OR(NOT(ISNUMBER($G117)),$G117&lt;0,MOD($G117,1)&lt;&gt;0),TRUE),"PEDIDOS PENDENTES INVÁLIDOS",IF(IFERROR(OR(NOT(ISNUMBER($R117)),$R117&gt;'Configurações'!$B$5),TRUE),"DATA INVÁLIDA","OK")))))))))))))</f>
        <v/>
      </c>
    </row>
    <row r="118">
      <c r="A118" s="21" t="n"/>
      <c r="B118" s="21" t="n"/>
      <c r="C118" s="27">
        <f>IFERROR(VLOOKUP($B118,'Estoque Central'!$A$6:$M$205,2,FALSE),"")</f>
        <v/>
      </c>
      <c r="D118" s="25">
        <f>IFERROR(VLOOKUP($B118,'Estoque Central'!$A$6:$M$205,3,FALSE),"")</f>
        <v/>
      </c>
      <c r="E118" s="21" t="n"/>
      <c r="F118" s="22" t="n"/>
      <c r="G118" s="22" t="n"/>
      <c r="H118" s="25">
        <f>IFERROR(VLOOKUP($E118,'Configurações'!$A$11:$F$20,2,FALSE),"")</f>
        <v/>
      </c>
      <c r="I118" s="28">
        <f>IFERROR(VLOOKUP($E118,'Configurações'!$A$11:$F$20,3,FALSE),"")</f>
        <v/>
      </c>
      <c r="J118" s="24">
        <f>IFERROR(VLOOKUP($E118,'Configurações'!$A$11:$F$20,4,FALSE),"")</f>
        <v/>
      </c>
      <c r="K118" s="24">
        <f>IFERROR(VLOOKUP($E118,'Configurações'!$A$11:$F$20,5,FALSE),"")</f>
        <v/>
      </c>
      <c r="L118" s="24">
        <f>IFERROR(VLOOKUP($B118,'Estoque Central'!$A$6:$M$205,9,FALSE),"")</f>
        <v/>
      </c>
      <c r="M118" s="24">
        <f>IF(COUNTA($A118:$B118,$E118:$G118,$R118)=0,"",IFERROR(IF(OR($C118="",$H118=""),"",IF(OR($D118&lt;&gt;"Ativo",$H118&lt;&gt;"Sim"),0,MIN(IF($J118="",$L118,$J118),ROUNDDOWN($L118*$I118,0)))),""))</f>
        <v/>
      </c>
      <c r="N118" s="24">
        <f>IF(OR($M118="",NOT(ISNUMBER($F118))),"",$M118-$F118)</f>
        <v/>
      </c>
      <c r="O118" s="25">
        <f>IF(COUNTA($A118:$B118,$E118:$G118,$R118)=0,"",IF($S118&lt;&gt;"OK","REVISAR CADASTRO",IF($N118&gt;0,"AUMENTAR",IF($N118&lt;0,"REDUZIR","SEM AÇÃO"))))</f>
        <v/>
      </c>
      <c r="P118" s="25">
        <f>IF(COUNTA($A118:$B118,$E118:$G118,$R118)=0,"",IF($S118&lt;&gt;"OK","REVISAR",IF(OR($D118&lt;&gt;"Ativo",$H118&lt;&gt;"Sim"),IF($F118&gt;0,"ALTO","SEM EXPOSIÇÃO"),IF(OR($F118&gt;$M118,SUMIFS($F$6:$F$305,$B$6:$B$305,$B118,$S$6:$S$305,"OK")&gt;$L118),"ALTO",IF(AND($F118&gt;0,$L118&lt;=$K118),"MÉDIO","BAIXO")))))</f>
        <v/>
      </c>
      <c r="Q118" s="25">
        <f>IF(COUNTA($A118:$B118,$E118:$G118,$R118)=0,"",IF($S118&lt;&gt;"OK","REVISAR",IF($O118="SEM AÇÃO","BAIXA",IF(OR($P118="ALTO",ABS($N118)&gt;='Configurações'!$B$3),"URGENTE",IF(OR($P118="MÉDIO",'Configurações'!$B$5-$R118&gt;'Configurações'!$B$4),"ALTA","NORMAL")))))</f>
        <v/>
      </c>
      <c r="R118" s="23" t="n"/>
      <c r="S118" s="25">
        <f>IF(COUNTA($A118:$B118,$E118:$G118,$R118)=0,"",IF($A118="","ID AUSENTE",IF(COUNTIF($A$6:$A$305,$A118)&gt;1,"ID DUPLICADO",IF($B118="","SKU AUSENTE",IF(COUNTIF('Estoque Central'!$A$6:$A$205,$B118)=0,"SKU NÃO CADASTRADO",IF(IFERROR(VLOOKUP($B118,'Estoque Central'!$A$6:$M$205,13,FALSE),"")&lt;&gt;"OK","ESTOQUE CENTRAL COM PENDÊNCIA",IF($E118="","CANAL AUSENTE",IF(COUNTIF('Configurações'!$A$11:$A$20,$E118)=0,"CANAL NÃO CONFIGURADO",IF(IFERROR(VLOOKUP($E118,'Configurações'!$A$11:$F$20,6,FALSE),"")&lt;&gt;"OK","CANAL COM PENDÊNCIA",IF(COUNTIFS($B$6:$B$305,$B118,$E$6:$E$305,$E118)&gt;1,"SKU/CANAL DUPLICADO",IF(IFERROR(OR(NOT(ISNUMBER($F118)),$F118&lt;0,MOD($F118,1)&lt;&gt;0),TRUE),"SALDO PUBLICADO INVÁLIDO",IF(IFERROR(OR(NOT(ISNUMBER($G118)),$G118&lt;0,MOD($G118,1)&lt;&gt;0),TRUE),"PEDIDOS PENDENTES INVÁLIDOS",IF(IFERROR(OR(NOT(ISNUMBER($R118)),$R118&gt;'Configurações'!$B$5),TRUE),"DATA INVÁLIDA","OK")))))))))))))</f>
        <v/>
      </c>
    </row>
    <row r="119">
      <c r="A119" s="21" t="n"/>
      <c r="B119" s="21" t="n"/>
      <c r="C119" s="27">
        <f>IFERROR(VLOOKUP($B119,'Estoque Central'!$A$6:$M$205,2,FALSE),"")</f>
        <v/>
      </c>
      <c r="D119" s="25">
        <f>IFERROR(VLOOKUP($B119,'Estoque Central'!$A$6:$M$205,3,FALSE),"")</f>
        <v/>
      </c>
      <c r="E119" s="21" t="n"/>
      <c r="F119" s="22" t="n"/>
      <c r="G119" s="22" t="n"/>
      <c r="H119" s="25">
        <f>IFERROR(VLOOKUP($E119,'Configurações'!$A$11:$F$20,2,FALSE),"")</f>
        <v/>
      </c>
      <c r="I119" s="28">
        <f>IFERROR(VLOOKUP($E119,'Configurações'!$A$11:$F$20,3,FALSE),"")</f>
        <v/>
      </c>
      <c r="J119" s="24">
        <f>IFERROR(VLOOKUP($E119,'Configurações'!$A$11:$F$20,4,FALSE),"")</f>
        <v/>
      </c>
      <c r="K119" s="24">
        <f>IFERROR(VLOOKUP($E119,'Configurações'!$A$11:$F$20,5,FALSE),"")</f>
        <v/>
      </c>
      <c r="L119" s="24">
        <f>IFERROR(VLOOKUP($B119,'Estoque Central'!$A$6:$M$205,9,FALSE),"")</f>
        <v/>
      </c>
      <c r="M119" s="24">
        <f>IF(COUNTA($A119:$B119,$E119:$G119,$R119)=0,"",IFERROR(IF(OR($C119="",$H119=""),"",IF(OR($D119&lt;&gt;"Ativo",$H119&lt;&gt;"Sim"),0,MIN(IF($J119="",$L119,$J119),ROUNDDOWN($L119*$I119,0)))),""))</f>
        <v/>
      </c>
      <c r="N119" s="24">
        <f>IF(OR($M119="",NOT(ISNUMBER($F119))),"",$M119-$F119)</f>
        <v/>
      </c>
      <c r="O119" s="25">
        <f>IF(COUNTA($A119:$B119,$E119:$G119,$R119)=0,"",IF($S119&lt;&gt;"OK","REVISAR CADASTRO",IF($N119&gt;0,"AUMENTAR",IF($N119&lt;0,"REDUZIR","SEM AÇÃO"))))</f>
        <v/>
      </c>
      <c r="P119" s="25">
        <f>IF(COUNTA($A119:$B119,$E119:$G119,$R119)=0,"",IF($S119&lt;&gt;"OK","REVISAR",IF(OR($D119&lt;&gt;"Ativo",$H119&lt;&gt;"Sim"),IF($F119&gt;0,"ALTO","SEM EXPOSIÇÃO"),IF(OR($F119&gt;$M119,SUMIFS($F$6:$F$305,$B$6:$B$305,$B119,$S$6:$S$305,"OK")&gt;$L119),"ALTO",IF(AND($F119&gt;0,$L119&lt;=$K119),"MÉDIO","BAIXO")))))</f>
        <v/>
      </c>
      <c r="Q119" s="25">
        <f>IF(COUNTA($A119:$B119,$E119:$G119,$R119)=0,"",IF($S119&lt;&gt;"OK","REVISAR",IF($O119="SEM AÇÃO","BAIXA",IF(OR($P119="ALTO",ABS($N119)&gt;='Configurações'!$B$3),"URGENTE",IF(OR($P119="MÉDIO",'Configurações'!$B$5-$R119&gt;'Configurações'!$B$4),"ALTA","NORMAL")))))</f>
        <v/>
      </c>
      <c r="R119" s="23" t="n"/>
      <c r="S119" s="25">
        <f>IF(COUNTA($A119:$B119,$E119:$G119,$R119)=0,"",IF($A119="","ID AUSENTE",IF(COUNTIF($A$6:$A$305,$A119)&gt;1,"ID DUPLICADO",IF($B119="","SKU AUSENTE",IF(COUNTIF('Estoque Central'!$A$6:$A$205,$B119)=0,"SKU NÃO CADASTRADO",IF(IFERROR(VLOOKUP($B119,'Estoque Central'!$A$6:$M$205,13,FALSE),"")&lt;&gt;"OK","ESTOQUE CENTRAL COM PENDÊNCIA",IF($E119="","CANAL AUSENTE",IF(COUNTIF('Configurações'!$A$11:$A$20,$E119)=0,"CANAL NÃO CONFIGURADO",IF(IFERROR(VLOOKUP($E119,'Configurações'!$A$11:$F$20,6,FALSE),"")&lt;&gt;"OK","CANAL COM PENDÊNCIA",IF(COUNTIFS($B$6:$B$305,$B119,$E$6:$E$305,$E119)&gt;1,"SKU/CANAL DUPLICADO",IF(IFERROR(OR(NOT(ISNUMBER($F119)),$F119&lt;0,MOD($F119,1)&lt;&gt;0),TRUE),"SALDO PUBLICADO INVÁLIDO",IF(IFERROR(OR(NOT(ISNUMBER($G119)),$G119&lt;0,MOD($G119,1)&lt;&gt;0),TRUE),"PEDIDOS PENDENTES INVÁLIDOS",IF(IFERROR(OR(NOT(ISNUMBER($R119)),$R119&gt;'Configurações'!$B$5),TRUE),"DATA INVÁLIDA","OK")))))))))))))</f>
        <v/>
      </c>
    </row>
    <row r="120">
      <c r="A120" s="21" t="n"/>
      <c r="B120" s="21" t="n"/>
      <c r="C120" s="27">
        <f>IFERROR(VLOOKUP($B120,'Estoque Central'!$A$6:$M$205,2,FALSE),"")</f>
        <v/>
      </c>
      <c r="D120" s="25">
        <f>IFERROR(VLOOKUP($B120,'Estoque Central'!$A$6:$M$205,3,FALSE),"")</f>
        <v/>
      </c>
      <c r="E120" s="21" t="n"/>
      <c r="F120" s="22" t="n"/>
      <c r="G120" s="22" t="n"/>
      <c r="H120" s="25">
        <f>IFERROR(VLOOKUP($E120,'Configurações'!$A$11:$F$20,2,FALSE),"")</f>
        <v/>
      </c>
      <c r="I120" s="28">
        <f>IFERROR(VLOOKUP($E120,'Configurações'!$A$11:$F$20,3,FALSE),"")</f>
        <v/>
      </c>
      <c r="J120" s="24">
        <f>IFERROR(VLOOKUP($E120,'Configurações'!$A$11:$F$20,4,FALSE),"")</f>
        <v/>
      </c>
      <c r="K120" s="24">
        <f>IFERROR(VLOOKUP($E120,'Configurações'!$A$11:$F$20,5,FALSE),"")</f>
        <v/>
      </c>
      <c r="L120" s="24">
        <f>IFERROR(VLOOKUP($B120,'Estoque Central'!$A$6:$M$205,9,FALSE),"")</f>
        <v/>
      </c>
      <c r="M120" s="24">
        <f>IF(COUNTA($A120:$B120,$E120:$G120,$R120)=0,"",IFERROR(IF(OR($C120="",$H120=""),"",IF(OR($D120&lt;&gt;"Ativo",$H120&lt;&gt;"Sim"),0,MIN(IF($J120="",$L120,$J120),ROUNDDOWN($L120*$I120,0)))),""))</f>
        <v/>
      </c>
      <c r="N120" s="24">
        <f>IF(OR($M120="",NOT(ISNUMBER($F120))),"",$M120-$F120)</f>
        <v/>
      </c>
      <c r="O120" s="25">
        <f>IF(COUNTA($A120:$B120,$E120:$G120,$R120)=0,"",IF($S120&lt;&gt;"OK","REVISAR CADASTRO",IF($N120&gt;0,"AUMENTAR",IF($N120&lt;0,"REDUZIR","SEM AÇÃO"))))</f>
        <v/>
      </c>
      <c r="P120" s="25">
        <f>IF(COUNTA($A120:$B120,$E120:$G120,$R120)=0,"",IF($S120&lt;&gt;"OK","REVISAR",IF(OR($D120&lt;&gt;"Ativo",$H120&lt;&gt;"Sim"),IF($F120&gt;0,"ALTO","SEM EXPOSIÇÃO"),IF(OR($F120&gt;$M120,SUMIFS($F$6:$F$305,$B$6:$B$305,$B120,$S$6:$S$305,"OK")&gt;$L120),"ALTO",IF(AND($F120&gt;0,$L120&lt;=$K120),"MÉDIO","BAIXO")))))</f>
        <v/>
      </c>
      <c r="Q120" s="25">
        <f>IF(COUNTA($A120:$B120,$E120:$G120,$R120)=0,"",IF($S120&lt;&gt;"OK","REVISAR",IF($O120="SEM AÇÃO","BAIXA",IF(OR($P120="ALTO",ABS($N120)&gt;='Configurações'!$B$3),"URGENTE",IF(OR($P120="MÉDIO",'Configurações'!$B$5-$R120&gt;'Configurações'!$B$4),"ALTA","NORMAL")))))</f>
        <v/>
      </c>
      <c r="R120" s="23" t="n"/>
      <c r="S120" s="25">
        <f>IF(COUNTA($A120:$B120,$E120:$G120,$R120)=0,"",IF($A120="","ID AUSENTE",IF(COUNTIF($A$6:$A$305,$A120)&gt;1,"ID DUPLICADO",IF($B120="","SKU AUSENTE",IF(COUNTIF('Estoque Central'!$A$6:$A$205,$B120)=0,"SKU NÃO CADASTRADO",IF(IFERROR(VLOOKUP($B120,'Estoque Central'!$A$6:$M$205,13,FALSE),"")&lt;&gt;"OK","ESTOQUE CENTRAL COM PENDÊNCIA",IF($E120="","CANAL AUSENTE",IF(COUNTIF('Configurações'!$A$11:$A$20,$E120)=0,"CANAL NÃO CONFIGURADO",IF(IFERROR(VLOOKUP($E120,'Configurações'!$A$11:$F$20,6,FALSE),"")&lt;&gt;"OK","CANAL COM PENDÊNCIA",IF(COUNTIFS($B$6:$B$305,$B120,$E$6:$E$305,$E120)&gt;1,"SKU/CANAL DUPLICADO",IF(IFERROR(OR(NOT(ISNUMBER($F120)),$F120&lt;0,MOD($F120,1)&lt;&gt;0),TRUE),"SALDO PUBLICADO INVÁLIDO",IF(IFERROR(OR(NOT(ISNUMBER($G120)),$G120&lt;0,MOD($G120,1)&lt;&gt;0),TRUE),"PEDIDOS PENDENTES INVÁLIDOS",IF(IFERROR(OR(NOT(ISNUMBER($R120)),$R120&gt;'Configurações'!$B$5),TRUE),"DATA INVÁLIDA","OK")))))))))))))</f>
        <v/>
      </c>
    </row>
    <row r="121">
      <c r="A121" s="21" t="n"/>
      <c r="B121" s="21" t="n"/>
      <c r="C121" s="27">
        <f>IFERROR(VLOOKUP($B121,'Estoque Central'!$A$6:$M$205,2,FALSE),"")</f>
        <v/>
      </c>
      <c r="D121" s="25">
        <f>IFERROR(VLOOKUP($B121,'Estoque Central'!$A$6:$M$205,3,FALSE),"")</f>
        <v/>
      </c>
      <c r="E121" s="21" t="n"/>
      <c r="F121" s="22" t="n"/>
      <c r="G121" s="22" t="n"/>
      <c r="H121" s="25">
        <f>IFERROR(VLOOKUP($E121,'Configurações'!$A$11:$F$20,2,FALSE),"")</f>
        <v/>
      </c>
      <c r="I121" s="28">
        <f>IFERROR(VLOOKUP($E121,'Configurações'!$A$11:$F$20,3,FALSE),"")</f>
        <v/>
      </c>
      <c r="J121" s="24">
        <f>IFERROR(VLOOKUP($E121,'Configurações'!$A$11:$F$20,4,FALSE),"")</f>
        <v/>
      </c>
      <c r="K121" s="24">
        <f>IFERROR(VLOOKUP($E121,'Configurações'!$A$11:$F$20,5,FALSE),"")</f>
        <v/>
      </c>
      <c r="L121" s="24">
        <f>IFERROR(VLOOKUP($B121,'Estoque Central'!$A$6:$M$205,9,FALSE),"")</f>
        <v/>
      </c>
      <c r="M121" s="24">
        <f>IF(COUNTA($A121:$B121,$E121:$G121,$R121)=0,"",IFERROR(IF(OR($C121="",$H121=""),"",IF(OR($D121&lt;&gt;"Ativo",$H121&lt;&gt;"Sim"),0,MIN(IF($J121="",$L121,$J121),ROUNDDOWN($L121*$I121,0)))),""))</f>
        <v/>
      </c>
      <c r="N121" s="24">
        <f>IF(OR($M121="",NOT(ISNUMBER($F121))),"",$M121-$F121)</f>
        <v/>
      </c>
      <c r="O121" s="25">
        <f>IF(COUNTA($A121:$B121,$E121:$G121,$R121)=0,"",IF($S121&lt;&gt;"OK","REVISAR CADASTRO",IF($N121&gt;0,"AUMENTAR",IF($N121&lt;0,"REDUZIR","SEM AÇÃO"))))</f>
        <v/>
      </c>
      <c r="P121" s="25">
        <f>IF(COUNTA($A121:$B121,$E121:$G121,$R121)=0,"",IF($S121&lt;&gt;"OK","REVISAR",IF(OR($D121&lt;&gt;"Ativo",$H121&lt;&gt;"Sim"),IF($F121&gt;0,"ALTO","SEM EXPOSIÇÃO"),IF(OR($F121&gt;$M121,SUMIFS($F$6:$F$305,$B$6:$B$305,$B121,$S$6:$S$305,"OK")&gt;$L121),"ALTO",IF(AND($F121&gt;0,$L121&lt;=$K121),"MÉDIO","BAIXO")))))</f>
        <v/>
      </c>
      <c r="Q121" s="25">
        <f>IF(COUNTA($A121:$B121,$E121:$G121,$R121)=0,"",IF($S121&lt;&gt;"OK","REVISAR",IF($O121="SEM AÇÃO","BAIXA",IF(OR($P121="ALTO",ABS($N121)&gt;='Configurações'!$B$3),"URGENTE",IF(OR($P121="MÉDIO",'Configurações'!$B$5-$R121&gt;'Configurações'!$B$4),"ALTA","NORMAL")))))</f>
        <v/>
      </c>
      <c r="R121" s="23" t="n"/>
      <c r="S121" s="25">
        <f>IF(COUNTA($A121:$B121,$E121:$G121,$R121)=0,"",IF($A121="","ID AUSENTE",IF(COUNTIF($A$6:$A$305,$A121)&gt;1,"ID DUPLICADO",IF($B121="","SKU AUSENTE",IF(COUNTIF('Estoque Central'!$A$6:$A$205,$B121)=0,"SKU NÃO CADASTRADO",IF(IFERROR(VLOOKUP($B121,'Estoque Central'!$A$6:$M$205,13,FALSE),"")&lt;&gt;"OK","ESTOQUE CENTRAL COM PENDÊNCIA",IF($E121="","CANAL AUSENTE",IF(COUNTIF('Configurações'!$A$11:$A$20,$E121)=0,"CANAL NÃO CONFIGURADO",IF(IFERROR(VLOOKUP($E121,'Configurações'!$A$11:$F$20,6,FALSE),"")&lt;&gt;"OK","CANAL COM PENDÊNCIA",IF(COUNTIFS($B$6:$B$305,$B121,$E$6:$E$305,$E121)&gt;1,"SKU/CANAL DUPLICADO",IF(IFERROR(OR(NOT(ISNUMBER($F121)),$F121&lt;0,MOD($F121,1)&lt;&gt;0),TRUE),"SALDO PUBLICADO INVÁLIDO",IF(IFERROR(OR(NOT(ISNUMBER($G121)),$G121&lt;0,MOD($G121,1)&lt;&gt;0),TRUE),"PEDIDOS PENDENTES INVÁLIDOS",IF(IFERROR(OR(NOT(ISNUMBER($R121)),$R121&gt;'Configurações'!$B$5),TRUE),"DATA INVÁLIDA","OK")))))))))))))</f>
        <v/>
      </c>
    </row>
    <row r="122">
      <c r="A122" s="21" t="n"/>
      <c r="B122" s="21" t="n"/>
      <c r="C122" s="27">
        <f>IFERROR(VLOOKUP($B122,'Estoque Central'!$A$6:$M$205,2,FALSE),"")</f>
        <v/>
      </c>
      <c r="D122" s="25">
        <f>IFERROR(VLOOKUP($B122,'Estoque Central'!$A$6:$M$205,3,FALSE),"")</f>
        <v/>
      </c>
      <c r="E122" s="21" t="n"/>
      <c r="F122" s="22" t="n"/>
      <c r="G122" s="22" t="n"/>
      <c r="H122" s="25">
        <f>IFERROR(VLOOKUP($E122,'Configurações'!$A$11:$F$20,2,FALSE),"")</f>
        <v/>
      </c>
      <c r="I122" s="28">
        <f>IFERROR(VLOOKUP($E122,'Configurações'!$A$11:$F$20,3,FALSE),"")</f>
        <v/>
      </c>
      <c r="J122" s="24">
        <f>IFERROR(VLOOKUP($E122,'Configurações'!$A$11:$F$20,4,FALSE),"")</f>
        <v/>
      </c>
      <c r="K122" s="24">
        <f>IFERROR(VLOOKUP($E122,'Configurações'!$A$11:$F$20,5,FALSE),"")</f>
        <v/>
      </c>
      <c r="L122" s="24">
        <f>IFERROR(VLOOKUP($B122,'Estoque Central'!$A$6:$M$205,9,FALSE),"")</f>
        <v/>
      </c>
      <c r="M122" s="24">
        <f>IF(COUNTA($A122:$B122,$E122:$G122,$R122)=0,"",IFERROR(IF(OR($C122="",$H122=""),"",IF(OR($D122&lt;&gt;"Ativo",$H122&lt;&gt;"Sim"),0,MIN(IF($J122="",$L122,$J122),ROUNDDOWN($L122*$I122,0)))),""))</f>
        <v/>
      </c>
      <c r="N122" s="24">
        <f>IF(OR($M122="",NOT(ISNUMBER($F122))),"",$M122-$F122)</f>
        <v/>
      </c>
      <c r="O122" s="25">
        <f>IF(COUNTA($A122:$B122,$E122:$G122,$R122)=0,"",IF($S122&lt;&gt;"OK","REVISAR CADASTRO",IF($N122&gt;0,"AUMENTAR",IF($N122&lt;0,"REDUZIR","SEM AÇÃO"))))</f>
        <v/>
      </c>
      <c r="P122" s="25">
        <f>IF(COUNTA($A122:$B122,$E122:$G122,$R122)=0,"",IF($S122&lt;&gt;"OK","REVISAR",IF(OR($D122&lt;&gt;"Ativo",$H122&lt;&gt;"Sim"),IF($F122&gt;0,"ALTO","SEM EXPOSIÇÃO"),IF(OR($F122&gt;$M122,SUMIFS($F$6:$F$305,$B$6:$B$305,$B122,$S$6:$S$305,"OK")&gt;$L122),"ALTO",IF(AND($F122&gt;0,$L122&lt;=$K122),"MÉDIO","BAIXO")))))</f>
        <v/>
      </c>
      <c r="Q122" s="25">
        <f>IF(COUNTA($A122:$B122,$E122:$G122,$R122)=0,"",IF($S122&lt;&gt;"OK","REVISAR",IF($O122="SEM AÇÃO","BAIXA",IF(OR($P122="ALTO",ABS($N122)&gt;='Configurações'!$B$3),"URGENTE",IF(OR($P122="MÉDIO",'Configurações'!$B$5-$R122&gt;'Configurações'!$B$4),"ALTA","NORMAL")))))</f>
        <v/>
      </c>
      <c r="R122" s="23" t="n"/>
      <c r="S122" s="25">
        <f>IF(COUNTA($A122:$B122,$E122:$G122,$R122)=0,"",IF($A122="","ID AUSENTE",IF(COUNTIF($A$6:$A$305,$A122)&gt;1,"ID DUPLICADO",IF($B122="","SKU AUSENTE",IF(COUNTIF('Estoque Central'!$A$6:$A$205,$B122)=0,"SKU NÃO CADASTRADO",IF(IFERROR(VLOOKUP($B122,'Estoque Central'!$A$6:$M$205,13,FALSE),"")&lt;&gt;"OK","ESTOQUE CENTRAL COM PENDÊNCIA",IF($E122="","CANAL AUSENTE",IF(COUNTIF('Configurações'!$A$11:$A$20,$E122)=0,"CANAL NÃO CONFIGURADO",IF(IFERROR(VLOOKUP($E122,'Configurações'!$A$11:$F$20,6,FALSE),"")&lt;&gt;"OK","CANAL COM PENDÊNCIA",IF(COUNTIFS($B$6:$B$305,$B122,$E$6:$E$305,$E122)&gt;1,"SKU/CANAL DUPLICADO",IF(IFERROR(OR(NOT(ISNUMBER($F122)),$F122&lt;0,MOD($F122,1)&lt;&gt;0),TRUE),"SALDO PUBLICADO INVÁLIDO",IF(IFERROR(OR(NOT(ISNUMBER($G122)),$G122&lt;0,MOD($G122,1)&lt;&gt;0),TRUE),"PEDIDOS PENDENTES INVÁLIDOS",IF(IFERROR(OR(NOT(ISNUMBER($R122)),$R122&gt;'Configurações'!$B$5),TRUE),"DATA INVÁLIDA","OK")))))))))))))</f>
        <v/>
      </c>
    </row>
    <row r="123">
      <c r="A123" s="21" t="n"/>
      <c r="B123" s="21" t="n"/>
      <c r="C123" s="27">
        <f>IFERROR(VLOOKUP($B123,'Estoque Central'!$A$6:$M$205,2,FALSE),"")</f>
        <v/>
      </c>
      <c r="D123" s="25">
        <f>IFERROR(VLOOKUP($B123,'Estoque Central'!$A$6:$M$205,3,FALSE),"")</f>
        <v/>
      </c>
      <c r="E123" s="21" t="n"/>
      <c r="F123" s="22" t="n"/>
      <c r="G123" s="22" t="n"/>
      <c r="H123" s="25">
        <f>IFERROR(VLOOKUP($E123,'Configurações'!$A$11:$F$20,2,FALSE),"")</f>
        <v/>
      </c>
      <c r="I123" s="28">
        <f>IFERROR(VLOOKUP($E123,'Configurações'!$A$11:$F$20,3,FALSE),"")</f>
        <v/>
      </c>
      <c r="J123" s="24">
        <f>IFERROR(VLOOKUP($E123,'Configurações'!$A$11:$F$20,4,FALSE),"")</f>
        <v/>
      </c>
      <c r="K123" s="24">
        <f>IFERROR(VLOOKUP($E123,'Configurações'!$A$11:$F$20,5,FALSE),"")</f>
        <v/>
      </c>
      <c r="L123" s="24">
        <f>IFERROR(VLOOKUP($B123,'Estoque Central'!$A$6:$M$205,9,FALSE),"")</f>
        <v/>
      </c>
      <c r="M123" s="24">
        <f>IF(COUNTA($A123:$B123,$E123:$G123,$R123)=0,"",IFERROR(IF(OR($C123="",$H123=""),"",IF(OR($D123&lt;&gt;"Ativo",$H123&lt;&gt;"Sim"),0,MIN(IF($J123="",$L123,$J123),ROUNDDOWN($L123*$I123,0)))),""))</f>
        <v/>
      </c>
      <c r="N123" s="24">
        <f>IF(OR($M123="",NOT(ISNUMBER($F123))),"",$M123-$F123)</f>
        <v/>
      </c>
      <c r="O123" s="25">
        <f>IF(COUNTA($A123:$B123,$E123:$G123,$R123)=0,"",IF($S123&lt;&gt;"OK","REVISAR CADASTRO",IF($N123&gt;0,"AUMENTAR",IF($N123&lt;0,"REDUZIR","SEM AÇÃO"))))</f>
        <v/>
      </c>
      <c r="P123" s="25">
        <f>IF(COUNTA($A123:$B123,$E123:$G123,$R123)=0,"",IF($S123&lt;&gt;"OK","REVISAR",IF(OR($D123&lt;&gt;"Ativo",$H123&lt;&gt;"Sim"),IF($F123&gt;0,"ALTO","SEM EXPOSIÇÃO"),IF(OR($F123&gt;$M123,SUMIFS($F$6:$F$305,$B$6:$B$305,$B123,$S$6:$S$305,"OK")&gt;$L123),"ALTO",IF(AND($F123&gt;0,$L123&lt;=$K123),"MÉDIO","BAIXO")))))</f>
        <v/>
      </c>
      <c r="Q123" s="25">
        <f>IF(COUNTA($A123:$B123,$E123:$G123,$R123)=0,"",IF($S123&lt;&gt;"OK","REVISAR",IF($O123="SEM AÇÃO","BAIXA",IF(OR($P123="ALTO",ABS($N123)&gt;='Configurações'!$B$3),"URGENTE",IF(OR($P123="MÉDIO",'Configurações'!$B$5-$R123&gt;'Configurações'!$B$4),"ALTA","NORMAL")))))</f>
        <v/>
      </c>
      <c r="R123" s="23" t="n"/>
      <c r="S123" s="25">
        <f>IF(COUNTA($A123:$B123,$E123:$G123,$R123)=0,"",IF($A123="","ID AUSENTE",IF(COUNTIF($A$6:$A$305,$A123)&gt;1,"ID DUPLICADO",IF($B123="","SKU AUSENTE",IF(COUNTIF('Estoque Central'!$A$6:$A$205,$B123)=0,"SKU NÃO CADASTRADO",IF(IFERROR(VLOOKUP($B123,'Estoque Central'!$A$6:$M$205,13,FALSE),"")&lt;&gt;"OK","ESTOQUE CENTRAL COM PENDÊNCIA",IF($E123="","CANAL AUSENTE",IF(COUNTIF('Configurações'!$A$11:$A$20,$E123)=0,"CANAL NÃO CONFIGURADO",IF(IFERROR(VLOOKUP($E123,'Configurações'!$A$11:$F$20,6,FALSE),"")&lt;&gt;"OK","CANAL COM PENDÊNCIA",IF(COUNTIFS($B$6:$B$305,$B123,$E$6:$E$305,$E123)&gt;1,"SKU/CANAL DUPLICADO",IF(IFERROR(OR(NOT(ISNUMBER($F123)),$F123&lt;0,MOD($F123,1)&lt;&gt;0),TRUE),"SALDO PUBLICADO INVÁLIDO",IF(IFERROR(OR(NOT(ISNUMBER($G123)),$G123&lt;0,MOD($G123,1)&lt;&gt;0),TRUE),"PEDIDOS PENDENTES INVÁLIDOS",IF(IFERROR(OR(NOT(ISNUMBER($R123)),$R123&gt;'Configurações'!$B$5),TRUE),"DATA INVÁLIDA","OK")))))))))))))</f>
        <v/>
      </c>
    </row>
    <row r="124">
      <c r="A124" s="21" t="n"/>
      <c r="B124" s="21" t="n"/>
      <c r="C124" s="27">
        <f>IFERROR(VLOOKUP($B124,'Estoque Central'!$A$6:$M$205,2,FALSE),"")</f>
        <v/>
      </c>
      <c r="D124" s="25">
        <f>IFERROR(VLOOKUP($B124,'Estoque Central'!$A$6:$M$205,3,FALSE),"")</f>
        <v/>
      </c>
      <c r="E124" s="21" t="n"/>
      <c r="F124" s="22" t="n"/>
      <c r="G124" s="22" t="n"/>
      <c r="H124" s="25">
        <f>IFERROR(VLOOKUP($E124,'Configurações'!$A$11:$F$20,2,FALSE),"")</f>
        <v/>
      </c>
      <c r="I124" s="28">
        <f>IFERROR(VLOOKUP($E124,'Configurações'!$A$11:$F$20,3,FALSE),"")</f>
        <v/>
      </c>
      <c r="J124" s="24">
        <f>IFERROR(VLOOKUP($E124,'Configurações'!$A$11:$F$20,4,FALSE),"")</f>
        <v/>
      </c>
      <c r="K124" s="24">
        <f>IFERROR(VLOOKUP($E124,'Configurações'!$A$11:$F$20,5,FALSE),"")</f>
        <v/>
      </c>
      <c r="L124" s="24">
        <f>IFERROR(VLOOKUP($B124,'Estoque Central'!$A$6:$M$205,9,FALSE),"")</f>
        <v/>
      </c>
      <c r="M124" s="24">
        <f>IF(COUNTA($A124:$B124,$E124:$G124,$R124)=0,"",IFERROR(IF(OR($C124="",$H124=""),"",IF(OR($D124&lt;&gt;"Ativo",$H124&lt;&gt;"Sim"),0,MIN(IF($J124="",$L124,$J124),ROUNDDOWN($L124*$I124,0)))),""))</f>
        <v/>
      </c>
      <c r="N124" s="24">
        <f>IF(OR($M124="",NOT(ISNUMBER($F124))),"",$M124-$F124)</f>
        <v/>
      </c>
      <c r="O124" s="25">
        <f>IF(COUNTA($A124:$B124,$E124:$G124,$R124)=0,"",IF($S124&lt;&gt;"OK","REVISAR CADASTRO",IF($N124&gt;0,"AUMENTAR",IF($N124&lt;0,"REDUZIR","SEM AÇÃO"))))</f>
        <v/>
      </c>
      <c r="P124" s="25">
        <f>IF(COUNTA($A124:$B124,$E124:$G124,$R124)=0,"",IF($S124&lt;&gt;"OK","REVISAR",IF(OR($D124&lt;&gt;"Ativo",$H124&lt;&gt;"Sim"),IF($F124&gt;0,"ALTO","SEM EXPOSIÇÃO"),IF(OR($F124&gt;$M124,SUMIFS($F$6:$F$305,$B$6:$B$305,$B124,$S$6:$S$305,"OK")&gt;$L124),"ALTO",IF(AND($F124&gt;0,$L124&lt;=$K124),"MÉDIO","BAIXO")))))</f>
        <v/>
      </c>
      <c r="Q124" s="25">
        <f>IF(COUNTA($A124:$B124,$E124:$G124,$R124)=0,"",IF($S124&lt;&gt;"OK","REVISAR",IF($O124="SEM AÇÃO","BAIXA",IF(OR($P124="ALTO",ABS($N124)&gt;='Configurações'!$B$3),"URGENTE",IF(OR($P124="MÉDIO",'Configurações'!$B$5-$R124&gt;'Configurações'!$B$4),"ALTA","NORMAL")))))</f>
        <v/>
      </c>
      <c r="R124" s="23" t="n"/>
      <c r="S124" s="25">
        <f>IF(COUNTA($A124:$B124,$E124:$G124,$R124)=0,"",IF($A124="","ID AUSENTE",IF(COUNTIF($A$6:$A$305,$A124)&gt;1,"ID DUPLICADO",IF($B124="","SKU AUSENTE",IF(COUNTIF('Estoque Central'!$A$6:$A$205,$B124)=0,"SKU NÃO CADASTRADO",IF(IFERROR(VLOOKUP($B124,'Estoque Central'!$A$6:$M$205,13,FALSE),"")&lt;&gt;"OK","ESTOQUE CENTRAL COM PENDÊNCIA",IF($E124="","CANAL AUSENTE",IF(COUNTIF('Configurações'!$A$11:$A$20,$E124)=0,"CANAL NÃO CONFIGURADO",IF(IFERROR(VLOOKUP($E124,'Configurações'!$A$11:$F$20,6,FALSE),"")&lt;&gt;"OK","CANAL COM PENDÊNCIA",IF(COUNTIFS($B$6:$B$305,$B124,$E$6:$E$305,$E124)&gt;1,"SKU/CANAL DUPLICADO",IF(IFERROR(OR(NOT(ISNUMBER($F124)),$F124&lt;0,MOD($F124,1)&lt;&gt;0),TRUE),"SALDO PUBLICADO INVÁLIDO",IF(IFERROR(OR(NOT(ISNUMBER($G124)),$G124&lt;0,MOD($G124,1)&lt;&gt;0),TRUE),"PEDIDOS PENDENTES INVÁLIDOS",IF(IFERROR(OR(NOT(ISNUMBER($R124)),$R124&gt;'Configurações'!$B$5),TRUE),"DATA INVÁLIDA","OK")))))))))))))</f>
        <v/>
      </c>
    </row>
    <row r="125">
      <c r="A125" s="21" t="n"/>
      <c r="B125" s="21" t="n"/>
      <c r="C125" s="27">
        <f>IFERROR(VLOOKUP($B125,'Estoque Central'!$A$6:$M$205,2,FALSE),"")</f>
        <v/>
      </c>
      <c r="D125" s="25">
        <f>IFERROR(VLOOKUP($B125,'Estoque Central'!$A$6:$M$205,3,FALSE),"")</f>
        <v/>
      </c>
      <c r="E125" s="21" t="n"/>
      <c r="F125" s="22" t="n"/>
      <c r="G125" s="22" t="n"/>
      <c r="H125" s="25">
        <f>IFERROR(VLOOKUP($E125,'Configurações'!$A$11:$F$20,2,FALSE),"")</f>
        <v/>
      </c>
      <c r="I125" s="28">
        <f>IFERROR(VLOOKUP($E125,'Configurações'!$A$11:$F$20,3,FALSE),"")</f>
        <v/>
      </c>
      <c r="J125" s="24">
        <f>IFERROR(VLOOKUP($E125,'Configurações'!$A$11:$F$20,4,FALSE),"")</f>
        <v/>
      </c>
      <c r="K125" s="24">
        <f>IFERROR(VLOOKUP($E125,'Configurações'!$A$11:$F$20,5,FALSE),"")</f>
        <v/>
      </c>
      <c r="L125" s="24">
        <f>IFERROR(VLOOKUP($B125,'Estoque Central'!$A$6:$M$205,9,FALSE),"")</f>
        <v/>
      </c>
      <c r="M125" s="24">
        <f>IF(COUNTA($A125:$B125,$E125:$G125,$R125)=0,"",IFERROR(IF(OR($C125="",$H125=""),"",IF(OR($D125&lt;&gt;"Ativo",$H125&lt;&gt;"Sim"),0,MIN(IF($J125="",$L125,$J125),ROUNDDOWN($L125*$I125,0)))),""))</f>
        <v/>
      </c>
      <c r="N125" s="24">
        <f>IF(OR($M125="",NOT(ISNUMBER($F125))),"",$M125-$F125)</f>
        <v/>
      </c>
      <c r="O125" s="25">
        <f>IF(COUNTA($A125:$B125,$E125:$G125,$R125)=0,"",IF($S125&lt;&gt;"OK","REVISAR CADASTRO",IF($N125&gt;0,"AUMENTAR",IF($N125&lt;0,"REDUZIR","SEM AÇÃO"))))</f>
        <v/>
      </c>
      <c r="P125" s="25">
        <f>IF(COUNTA($A125:$B125,$E125:$G125,$R125)=0,"",IF($S125&lt;&gt;"OK","REVISAR",IF(OR($D125&lt;&gt;"Ativo",$H125&lt;&gt;"Sim"),IF($F125&gt;0,"ALTO","SEM EXPOSIÇÃO"),IF(OR($F125&gt;$M125,SUMIFS($F$6:$F$305,$B$6:$B$305,$B125,$S$6:$S$305,"OK")&gt;$L125),"ALTO",IF(AND($F125&gt;0,$L125&lt;=$K125),"MÉDIO","BAIXO")))))</f>
        <v/>
      </c>
      <c r="Q125" s="25">
        <f>IF(COUNTA($A125:$B125,$E125:$G125,$R125)=0,"",IF($S125&lt;&gt;"OK","REVISAR",IF($O125="SEM AÇÃO","BAIXA",IF(OR($P125="ALTO",ABS($N125)&gt;='Configurações'!$B$3),"URGENTE",IF(OR($P125="MÉDIO",'Configurações'!$B$5-$R125&gt;'Configurações'!$B$4),"ALTA","NORMAL")))))</f>
        <v/>
      </c>
      <c r="R125" s="23" t="n"/>
      <c r="S125" s="25">
        <f>IF(COUNTA($A125:$B125,$E125:$G125,$R125)=0,"",IF($A125="","ID AUSENTE",IF(COUNTIF($A$6:$A$305,$A125)&gt;1,"ID DUPLICADO",IF($B125="","SKU AUSENTE",IF(COUNTIF('Estoque Central'!$A$6:$A$205,$B125)=0,"SKU NÃO CADASTRADO",IF(IFERROR(VLOOKUP($B125,'Estoque Central'!$A$6:$M$205,13,FALSE),"")&lt;&gt;"OK","ESTOQUE CENTRAL COM PENDÊNCIA",IF($E125="","CANAL AUSENTE",IF(COUNTIF('Configurações'!$A$11:$A$20,$E125)=0,"CANAL NÃO CONFIGURADO",IF(IFERROR(VLOOKUP($E125,'Configurações'!$A$11:$F$20,6,FALSE),"")&lt;&gt;"OK","CANAL COM PENDÊNCIA",IF(COUNTIFS($B$6:$B$305,$B125,$E$6:$E$305,$E125)&gt;1,"SKU/CANAL DUPLICADO",IF(IFERROR(OR(NOT(ISNUMBER($F125)),$F125&lt;0,MOD($F125,1)&lt;&gt;0),TRUE),"SALDO PUBLICADO INVÁLIDO",IF(IFERROR(OR(NOT(ISNUMBER($G125)),$G125&lt;0,MOD($G125,1)&lt;&gt;0),TRUE),"PEDIDOS PENDENTES INVÁLIDOS",IF(IFERROR(OR(NOT(ISNUMBER($R125)),$R125&gt;'Configurações'!$B$5),TRUE),"DATA INVÁLIDA","OK")))))))))))))</f>
        <v/>
      </c>
    </row>
    <row r="126">
      <c r="A126" s="21" t="n"/>
      <c r="B126" s="21" t="n"/>
      <c r="C126" s="27">
        <f>IFERROR(VLOOKUP($B126,'Estoque Central'!$A$6:$M$205,2,FALSE),"")</f>
        <v/>
      </c>
      <c r="D126" s="25">
        <f>IFERROR(VLOOKUP($B126,'Estoque Central'!$A$6:$M$205,3,FALSE),"")</f>
        <v/>
      </c>
      <c r="E126" s="21" t="n"/>
      <c r="F126" s="22" t="n"/>
      <c r="G126" s="22" t="n"/>
      <c r="H126" s="25">
        <f>IFERROR(VLOOKUP($E126,'Configurações'!$A$11:$F$20,2,FALSE),"")</f>
        <v/>
      </c>
      <c r="I126" s="28">
        <f>IFERROR(VLOOKUP($E126,'Configurações'!$A$11:$F$20,3,FALSE),"")</f>
        <v/>
      </c>
      <c r="J126" s="24">
        <f>IFERROR(VLOOKUP($E126,'Configurações'!$A$11:$F$20,4,FALSE),"")</f>
        <v/>
      </c>
      <c r="K126" s="24">
        <f>IFERROR(VLOOKUP($E126,'Configurações'!$A$11:$F$20,5,FALSE),"")</f>
        <v/>
      </c>
      <c r="L126" s="24">
        <f>IFERROR(VLOOKUP($B126,'Estoque Central'!$A$6:$M$205,9,FALSE),"")</f>
        <v/>
      </c>
      <c r="M126" s="24">
        <f>IF(COUNTA($A126:$B126,$E126:$G126,$R126)=0,"",IFERROR(IF(OR($C126="",$H126=""),"",IF(OR($D126&lt;&gt;"Ativo",$H126&lt;&gt;"Sim"),0,MIN(IF($J126="",$L126,$J126),ROUNDDOWN($L126*$I126,0)))),""))</f>
        <v/>
      </c>
      <c r="N126" s="24">
        <f>IF(OR($M126="",NOT(ISNUMBER($F126))),"",$M126-$F126)</f>
        <v/>
      </c>
      <c r="O126" s="25">
        <f>IF(COUNTA($A126:$B126,$E126:$G126,$R126)=0,"",IF($S126&lt;&gt;"OK","REVISAR CADASTRO",IF($N126&gt;0,"AUMENTAR",IF($N126&lt;0,"REDUZIR","SEM AÇÃO"))))</f>
        <v/>
      </c>
      <c r="P126" s="25">
        <f>IF(COUNTA($A126:$B126,$E126:$G126,$R126)=0,"",IF($S126&lt;&gt;"OK","REVISAR",IF(OR($D126&lt;&gt;"Ativo",$H126&lt;&gt;"Sim"),IF($F126&gt;0,"ALTO","SEM EXPOSIÇÃO"),IF(OR($F126&gt;$M126,SUMIFS($F$6:$F$305,$B$6:$B$305,$B126,$S$6:$S$305,"OK")&gt;$L126),"ALTO",IF(AND($F126&gt;0,$L126&lt;=$K126),"MÉDIO","BAIXO")))))</f>
        <v/>
      </c>
      <c r="Q126" s="25">
        <f>IF(COUNTA($A126:$B126,$E126:$G126,$R126)=0,"",IF($S126&lt;&gt;"OK","REVISAR",IF($O126="SEM AÇÃO","BAIXA",IF(OR($P126="ALTO",ABS($N126)&gt;='Configurações'!$B$3),"URGENTE",IF(OR($P126="MÉDIO",'Configurações'!$B$5-$R126&gt;'Configurações'!$B$4),"ALTA","NORMAL")))))</f>
        <v/>
      </c>
      <c r="R126" s="23" t="n"/>
      <c r="S126" s="25">
        <f>IF(COUNTA($A126:$B126,$E126:$G126,$R126)=0,"",IF($A126="","ID AUSENTE",IF(COUNTIF($A$6:$A$305,$A126)&gt;1,"ID DUPLICADO",IF($B126="","SKU AUSENTE",IF(COUNTIF('Estoque Central'!$A$6:$A$205,$B126)=0,"SKU NÃO CADASTRADO",IF(IFERROR(VLOOKUP($B126,'Estoque Central'!$A$6:$M$205,13,FALSE),"")&lt;&gt;"OK","ESTOQUE CENTRAL COM PENDÊNCIA",IF($E126="","CANAL AUSENTE",IF(COUNTIF('Configurações'!$A$11:$A$20,$E126)=0,"CANAL NÃO CONFIGURADO",IF(IFERROR(VLOOKUP($E126,'Configurações'!$A$11:$F$20,6,FALSE),"")&lt;&gt;"OK","CANAL COM PENDÊNCIA",IF(COUNTIFS($B$6:$B$305,$B126,$E$6:$E$305,$E126)&gt;1,"SKU/CANAL DUPLICADO",IF(IFERROR(OR(NOT(ISNUMBER($F126)),$F126&lt;0,MOD($F126,1)&lt;&gt;0),TRUE),"SALDO PUBLICADO INVÁLIDO",IF(IFERROR(OR(NOT(ISNUMBER($G126)),$G126&lt;0,MOD($G126,1)&lt;&gt;0),TRUE),"PEDIDOS PENDENTES INVÁLIDOS",IF(IFERROR(OR(NOT(ISNUMBER($R126)),$R126&gt;'Configurações'!$B$5),TRUE),"DATA INVÁLIDA","OK")))))))))))))</f>
        <v/>
      </c>
    </row>
    <row r="127">
      <c r="A127" s="21" t="n"/>
      <c r="B127" s="21" t="n"/>
      <c r="C127" s="27">
        <f>IFERROR(VLOOKUP($B127,'Estoque Central'!$A$6:$M$205,2,FALSE),"")</f>
        <v/>
      </c>
      <c r="D127" s="25">
        <f>IFERROR(VLOOKUP($B127,'Estoque Central'!$A$6:$M$205,3,FALSE),"")</f>
        <v/>
      </c>
      <c r="E127" s="21" t="n"/>
      <c r="F127" s="22" t="n"/>
      <c r="G127" s="22" t="n"/>
      <c r="H127" s="25">
        <f>IFERROR(VLOOKUP($E127,'Configurações'!$A$11:$F$20,2,FALSE),"")</f>
        <v/>
      </c>
      <c r="I127" s="28">
        <f>IFERROR(VLOOKUP($E127,'Configurações'!$A$11:$F$20,3,FALSE),"")</f>
        <v/>
      </c>
      <c r="J127" s="24">
        <f>IFERROR(VLOOKUP($E127,'Configurações'!$A$11:$F$20,4,FALSE),"")</f>
        <v/>
      </c>
      <c r="K127" s="24">
        <f>IFERROR(VLOOKUP($E127,'Configurações'!$A$11:$F$20,5,FALSE),"")</f>
        <v/>
      </c>
      <c r="L127" s="24">
        <f>IFERROR(VLOOKUP($B127,'Estoque Central'!$A$6:$M$205,9,FALSE),"")</f>
        <v/>
      </c>
      <c r="M127" s="24">
        <f>IF(COUNTA($A127:$B127,$E127:$G127,$R127)=0,"",IFERROR(IF(OR($C127="",$H127=""),"",IF(OR($D127&lt;&gt;"Ativo",$H127&lt;&gt;"Sim"),0,MIN(IF($J127="",$L127,$J127),ROUNDDOWN($L127*$I127,0)))),""))</f>
        <v/>
      </c>
      <c r="N127" s="24">
        <f>IF(OR($M127="",NOT(ISNUMBER($F127))),"",$M127-$F127)</f>
        <v/>
      </c>
      <c r="O127" s="25">
        <f>IF(COUNTA($A127:$B127,$E127:$G127,$R127)=0,"",IF($S127&lt;&gt;"OK","REVISAR CADASTRO",IF($N127&gt;0,"AUMENTAR",IF($N127&lt;0,"REDUZIR","SEM AÇÃO"))))</f>
        <v/>
      </c>
      <c r="P127" s="25">
        <f>IF(COUNTA($A127:$B127,$E127:$G127,$R127)=0,"",IF($S127&lt;&gt;"OK","REVISAR",IF(OR($D127&lt;&gt;"Ativo",$H127&lt;&gt;"Sim"),IF($F127&gt;0,"ALTO","SEM EXPOSIÇÃO"),IF(OR($F127&gt;$M127,SUMIFS($F$6:$F$305,$B$6:$B$305,$B127,$S$6:$S$305,"OK")&gt;$L127),"ALTO",IF(AND($F127&gt;0,$L127&lt;=$K127),"MÉDIO","BAIXO")))))</f>
        <v/>
      </c>
      <c r="Q127" s="25">
        <f>IF(COUNTA($A127:$B127,$E127:$G127,$R127)=0,"",IF($S127&lt;&gt;"OK","REVISAR",IF($O127="SEM AÇÃO","BAIXA",IF(OR($P127="ALTO",ABS($N127)&gt;='Configurações'!$B$3),"URGENTE",IF(OR($P127="MÉDIO",'Configurações'!$B$5-$R127&gt;'Configurações'!$B$4),"ALTA","NORMAL")))))</f>
        <v/>
      </c>
      <c r="R127" s="23" t="n"/>
      <c r="S127" s="25">
        <f>IF(COUNTA($A127:$B127,$E127:$G127,$R127)=0,"",IF($A127="","ID AUSENTE",IF(COUNTIF($A$6:$A$305,$A127)&gt;1,"ID DUPLICADO",IF($B127="","SKU AUSENTE",IF(COUNTIF('Estoque Central'!$A$6:$A$205,$B127)=0,"SKU NÃO CADASTRADO",IF(IFERROR(VLOOKUP($B127,'Estoque Central'!$A$6:$M$205,13,FALSE),"")&lt;&gt;"OK","ESTOQUE CENTRAL COM PENDÊNCIA",IF($E127="","CANAL AUSENTE",IF(COUNTIF('Configurações'!$A$11:$A$20,$E127)=0,"CANAL NÃO CONFIGURADO",IF(IFERROR(VLOOKUP($E127,'Configurações'!$A$11:$F$20,6,FALSE),"")&lt;&gt;"OK","CANAL COM PENDÊNCIA",IF(COUNTIFS($B$6:$B$305,$B127,$E$6:$E$305,$E127)&gt;1,"SKU/CANAL DUPLICADO",IF(IFERROR(OR(NOT(ISNUMBER($F127)),$F127&lt;0,MOD($F127,1)&lt;&gt;0),TRUE),"SALDO PUBLICADO INVÁLIDO",IF(IFERROR(OR(NOT(ISNUMBER($G127)),$G127&lt;0,MOD($G127,1)&lt;&gt;0),TRUE),"PEDIDOS PENDENTES INVÁLIDOS",IF(IFERROR(OR(NOT(ISNUMBER($R127)),$R127&gt;'Configurações'!$B$5),TRUE),"DATA INVÁLIDA","OK")))))))))))))</f>
        <v/>
      </c>
    </row>
    <row r="128">
      <c r="A128" s="21" t="n"/>
      <c r="B128" s="21" t="n"/>
      <c r="C128" s="27">
        <f>IFERROR(VLOOKUP($B128,'Estoque Central'!$A$6:$M$205,2,FALSE),"")</f>
        <v/>
      </c>
      <c r="D128" s="25">
        <f>IFERROR(VLOOKUP($B128,'Estoque Central'!$A$6:$M$205,3,FALSE),"")</f>
        <v/>
      </c>
      <c r="E128" s="21" t="n"/>
      <c r="F128" s="22" t="n"/>
      <c r="G128" s="22" t="n"/>
      <c r="H128" s="25">
        <f>IFERROR(VLOOKUP($E128,'Configurações'!$A$11:$F$20,2,FALSE),"")</f>
        <v/>
      </c>
      <c r="I128" s="28">
        <f>IFERROR(VLOOKUP($E128,'Configurações'!$A$11:$F$20,3,FALSE),"")</f>
        <v/>
      </c>
      <c r="J128" s="24">
        <f>IFERROR(VLOOKUP($E128,'Configurações'!$A$11:$F$20,4,FALSE),"")</f>
        <v/>
      </c>
      <c r="K128" s="24">
        <f>IFERROR(VLOOKUP($E128,'Configurações'!$A$11:$F$20,5,FALSE),"")</f>
        <v/>
      </c>
      <c r="L128" s="24">
        <f>IFERROR(VLOOKUP($B128,'Estoque Central'!$A$6:$M$205,9,FALSE),"")</f>
        <v/>
      </c>
      <c r="M128" s="24">
        <f>IF(COUNTA($A128:$B128,$E128:$G128,$R128)=0,"",IFERROR(IF(OR($C128="",$H128=""),"",IF(OR($D128&lt;&gt;"Ativo",$H128&lt;&gt;"Sim"),0,MIN(IF($J128="",$L128,$J128),ROUNDDOWN($L128*$I128,0)))),""))</f>
        <v/>
      </c>
      <c r="N128" s="24">
        <f>IF(OR($M128="",NOT(ISNUMBER($F128))),"",$M128-$F128)</f>
        <v/>
      </c>
      <c r="O128" s="25">
        <f>IF(COUNTA($A128:$B128,$E128:$G128,$R128)=0,"",IF($S128&lt;&gt;"OK","REVISAR CADASTRO",IF($N128&gt;0,"AUMENTAR",IF($N128&lt;0,"REDUZIR","SEM AÇÃO"))))</f>
        <v/>
      </c>
      <c r="P128" s="25">
        <f>IF(COUNTA($A128:$B128,$E128:$G128,$R128)=0,"",IF($S128&lt;&gt;"OK","REVISAR",IF(OR($D128&lt;&gt;"Ativo",$H128&lt;&gt;"Sim"),IF($F128&gt;0,"ALTO","SEM EXPOSIÇÃO"),IF(OR($F128&gt;$M128,SUMIFS($F$6:$F$305,$B$6:$B$305,$B128,$S$6:$S$305,"OK")&gt;$L128),"ALTO",IF(AND($F128&gt;0,$L128&lt;=$K128),"MÉDIO","BAIXO")))))</f>
        <v/>
      </c>
      <c r="Q128" s="25">
        <f>IF(COUNTA($A128:$B128,$E128:$G128,$R128)=0,"",IF($S128&lt;&gt;"OK","REVISAR",IF($O128="SEM AÇÃO","BAIXA",IF(OR($P128="ALTO",ABS($N128)&gt;='Configurações'!$B$3),"URGENTE",IF(OR($P128="MÉDIO",'Configurações'!$B$5-$R128&gt;'Configurações'!$B$4),"ALTA","NORMAL")))))</f>
        <v/>
      </c>
      <c r="R128" s="23" t="n"/>
      <c r="S128" s="25">
        <f>IF(COUNTA($A128:$B128,$E128:$G128,$R128)=0,"",IF($A128="","ID AUSENTE",IF(COUNTIF($A$6:$A$305,$A128)&gt;1,"ID DUPLICADO",IF($B128="","SKU AUSENTE",IF(COUNTIF('Estoque Central'!$A$6:$A$205,$B128)=0,"SKU NÃO CADASTRADO",IF(IFERROR(VLOOKUP($B128,'Estoque Central'!$A$6:$M$205,13,FALSE),"")&lt;&gt;"OK","ESTOQUE CENTRAL COM PENDÊNCIA",IF($E128="","CANAL AUSENTE",IF(COUNTIF('Configurações'!$A$11:$A$20,$E128)=0,"CANAL NÃO CONFIGURADO",IF(IFERROR(VLOOKUP($E128,'Configurações'!$A$11:$F$20,6,FALSE),"")&lt;&gt;"OK","CANAL COM PENDÊNCIA",IF(COUNTIFS($B$6:$B$305,$B128,$E$6:$E$305,$E128)&gt;1,"SKU/CANAL DUPLICADO",IF(IFERROR(OR(NOT(ISNUMBER($F128)),$F128&lt;0,MOD($F128,1)&lt;&gt;0),TRUE),"SALDO PUBLICADO INVÁLIDO",IF(IFERROR(OR(NOT(ISNUMBER($G128)),$G128&lt;0,MOD($G128,1)&lt;&gt;0),TRUE),"PEDIDOS PENDENTES INVÁLIDOS",IF(IFERROR(OR(NOT(ISNUMBER($R128)),$R128&gt;'Configurações'!$B$5),TRUE),"DATA INVÁLIDA","OK")))))))))))))</f>
        <v/>
      </c>
    </row>
    <row r="129">
      <c r="A129" s="21" t="n"/>
      <c r="B129" s="21" t="n"/>
      <c r="C129" s="27">
        <f>IFERROR(VLOOKUP($B129,'Estoque Central'!$A$6:$M$205,2,FALSE),"")</f>
        <v/>
      </c>
      <c r="D129" s="25">
        <f>IFERROR(VLOOKUP($B129,'Estoque Central'!$A$6:$M$205,3,FALSE),"")</f>
        <v/>
      </c>
      <c r="E129" s="21" t="n"/>
      <c r="F129" s="22" t="n"/>
      <c r="G129" s="22" t="n"/>
      <c r="H129" s="25">
        <f>IFERROR(VLOOKUP($E129,'Configurações'!$A$11:$F$20,2,FALSE),"")</f>
        <v/>
      </c>
      <c r="I129" s="28">
        <f>IFERROR(VLOOKUP($E129,'Configurações'!$A$11:$F$20,3,FALSE),"")</f>
        <v/>
      </c>
      <c r="J129" s="24">
        <f>IFERROR(VLOOKUP($E129,'Configurações'!$A$11:$F$20,4,FALSE),"")</f>
        <v/>
      </c>
      <c r="K129" s="24">
        <f>IFERROR(VLOOKUP($E129,'Configurações'!$A$11:$F$20,5,FALSE),"")</f>
        <v/>
      </c>
      <c r="L129" s="24">
        <f>IFERROR(VLOOKUP($B129,'Estoque Central'!$A$6:$M$205,9,FALSE),"")</f>
        <v/>
      </c>
      <c r="M129" s="24">
        <f>IF(COUNTA($A129:$B129,$E129:$G129,$R129)=0,"",IFERROR(IF(OR($C129="",$H129=""),"",IF(OR($D129&lt;&gt;"Ativo",$H129&lt;&gt;"Sim"),0,MIN(IF($J129="",$L129,$J129),ROUNDDOWN($L129*$I129,0)))),""))</f>
        <v/>
      </c>
      <c r="N129" s="24">
        <f>IF(OR($M129="",NOT(ISNUMBER($F129))),"",$M129-$F129)</f>
        <v/>
      </c>
      <c r="O129" s="25">
        <f>IF(COUNTA($A129:$B129,$E129:$G129,$R129)=0,"",IF($S129&lt;&gt;"OK","REVISAR CADASTRO",IF($N129&gt;0,"AUMENTAR",IF($N129&lt;0,"REDUZIR","SEM AÇÃO"))))</f>
        <v/>
      </c>
      <c r="P129" s="25">
        <f>IF(COUNTA($A129:$B129,$E129:$G129,$R129)=0,"",IF($S129&lt;&gt;"OK","REVISAR",IF(OR($D129&lt;&gt;"Ativo",$H129&lt;&gt;"Sim"),IF($F129&gt;0,"ALTO","SEM EXPOSIÇÃO"),IF(OR($F129&gt;$M129,SUMIFS($F$6:$F$305,$B$6:$B$305,$B129,$S$6:$S$305,"OK")&gt;$L129),"ALTO",IF(AND($F129&gt;0,$L129&lt;=$K129),"MÉDIO","BAIXO")))))</f>
        <v/>
      </c>
      <c r="Q129" s="25">
        <f>IF(COUNTA($A129:$B129,$E129:$G129,$R129)=0,"",IF($S129&lt;&gt;"OK","REVISAR",IF($O129="SEM AÇÃO","BAIXA",IF(OR($P129="ALTO",ABS($N129)&gt;='Configurações'!$B$3),"URGENTE",IF(OR($P129="MÉDIO",'Configurações'!$B$5-$R129&gt;'Configurações'!$B$4),"ALTA","NORMAL")))))</f>
        <v/>
      </c>
      <c r="R129" s="23" t="n"/>
      <c r="S129" s="25">
        <f>IF(COUNTA($A129:$B129,$E129:$G129,$R129)=0,"",IF($A129="","ID AUSENTE",IF(COUNTIF($A$6:$A$305,$A129)&gt;1,"ID DUPLICADO",IF($B129="","SKU AUSENTE",IF(COUNTIF('Estoque Central'!$A$6:$A$205,$B129)=0,"SKU NÃO CADASTRADO",IF(IFERROR(VLOOKUP($B129,'Estoque Central'!$A$6:$M$205,13,FALSE),"")&lt;&gt;"OK","ESTOQUE CENTRAL COM PENDÊNCIA",IF($E129="","CANAL AUSENTE",IF(COUNTIF('Configurações'!$A$11:$A$20,$E129)=0,"CANAL NÃO CONFIGURADO",IF(IFERROR(VLOOKUP($E129,'Configurações'!$A$11:$F$20,6,FALSE),"")&lt;&gt;"OK","CANAL COM PENDÊNCIA",IF(COUNTIFS($B$6:$B$305,$B129,$E$6:$E$305,$E129)&gt;1,"SKU/CANAL DUPLICADO",IF(IFERROR(OR(NOT(ISNUMBER($F129)),$F129&lt;0,MOD($F129,1)&lt;&gt;0),TRUE),"SALDO PUBLICADO INVÁLIDO",IF(IFERROR(OR(NOT(ISNUMBER($G129)),$G129&lt;0,MOD($G129,1)&lt;&gt;0),TRUE),"PEDIDOS PENDENTES INVÁLIDOS",IF(IFERROR(OR(NOT(ISNUMBER($R129)),$R129&gt;'Configurações'!$B$5),TRUE),"DATA INVÁLIDA","OK")))))))))))))</f>
        <v/>
      </c>
    </row>
    <row r="130">
      <c r="A130" s="21" t="n"/>
      <c r="B130" s="21" t="n"/>
      <c r="C130" s="27">
        <f>IFERROR(VLOOKUP($B130,'Estoque Central'!$A$6:$M$205,2,FALSE),"")</f>
        <v/>
      </c>
      <c r="D130" s="25">
        <f>IFERROR(VLOOKUP($B130,'Estoque Central'!$A$6:$M$205,3,FALSE),"")</f>
        <v/>
      </c>
      <c r="E130" s="21" t="n"/>
      <c r="F130" s="22" t="n"/>
      <c r="G130" s="22" t="n"/>
      <c r="H130" s="25">
        <f>IFERROR(VLOOKUP($E130,'Configurações'!$A$11:$F$20,2,FALSE),"")</f>
        <v/>
      </c>
      <c r="I130" s="28">
        <f>IFERROR(VLOOKUP($E130,'Configurações'!$A$11:$F$20,3,FALSE),"")</f>
        <v/>
      </c>
      <c r="J130" s="24">
        <f>IFERROR(VLOOKUP($E130,'Configurações'!$A$11:$F$20,4,FALSE),"")</f>
        <v/>
      </c>
      <c r="K130" s="24">
        <f>IFERROR(VLOOKUP($E130,'Configurações'!$A$11:$F$20,5,FALSE),"")</f>
        <v/>
      </c>
      <c r="L130" s="24">
        <f>IFERROR(VLOOKUP($B130,'Estoque Central'!$A$6:$M$205,9,FALSE),"")</f>
        <v/>
      </c>
      <c r="M130" s="24">
        <f>IF(COUNTA($A130:$B130,$E130:$G130,$R130)=0,"",IFERROR(IF(OR($C130="",$H130=""),"",IF(OR($D130&lt;&gt;"Ativo",$H130&lt;&gt;"Sim"),0,MIN(IF($J130="",$L130,$J130),ROUNDDOWN($L130*$I130,0)))),""))</f>
        <v/>
      </c>
      <c r="N130" s="24">
        <f>IF(OR($M130="",NOT(ISNUMBER($F130))),"",$M130-$F130)</f>
        <v/>
      </c>
      <c r="O130" s="25">
        <f>IF(COUNTA($A130:$B130,$E130:$G130,$R130)=0,"",IF($S130&lt;&gt;"OK","REVISAR CADASTRO",IF($N130&gt;0,"AUMENTAR",IF($N130&lt;0,"REDUZIR","SEM AÇÃO"))))</f>
        <v/>
      </c>
      <c r="P130" s="25">
        <f>IF(COUNTA($A130:$B130,$E130:$G130,$R130)=0,"",IF($S130&lt;&gt;"OK","REVISAR",IF(OR($D130&lt;&gt;"Ativo",$H130&lt;&gt;"Sim"),IF($F130&gt;0,"ALTO","SEM EXPOSIÇÃO"),IF(OR($F130&gt;$M130,SUMIFS($F$6:$F$305,$B$6:$B$305,$B130,$S$6:$S$305,"OK")&gt;$L130),"ALTO",IF(AND($F130&gt;0,$L130&lt;=$K130),"MÉDIO","BAIXO")))))</f>
        <v/>
      </c>
      <c r="Q130" s="25">
        <f>IF(COUNTA($A130:$B130,$E130:$G130,$R130)=0,"",IF($S130&lt;&gt;"OK","REVISAR",IF($O130="SEM AÇÃO","BAIXA",IF(OR($P130="ALTO",ABS($N130)&gt;='Configurações'!$B$3),"URGENTE",IF(OR($P130="MÉDIO",'Configurações'!$B$5-$R130&gt;'Configurações'!$B$4),"ALTA","NORMAL")))))</f>
        <v/>
      </c>
      <c r="R130" s="23" t="n"/>
      <c r="S130" s="25">
        <f>IF(COUNTA($A130:$B130,$E130:$G130,$R130)=0,"",IF($A130="","ID AUSENTE",IF(COUNTIF($A$6:$A$305,$A130)&gt;1,"ID DUPLICADO",IF($B130="","SKU AUSENTE",IF(COUNTIF('Estoque Central'!$A$6:$A$205,$B130)=0,"SKU NÃO CADASTRADO",IF(IFERROR(VLOOKUP($B130,'Estoque Central'!$A$6:$M$205,13,FALSE),"")&lt;&gt;"OK","ESTOQUE CENTRAL COM PENDÊNCIA",IF($E130="","CANAL AUSENTE",IF(COUNTIF('Configurações'!$A$11:$A$20,$E130)=0,"CANAL NÃO CONFIGURADO",IF(IFERROR(VLOOKUP($E130,'Configurações'!$A$11:$F$20,6,FALSE),"")&lt;&gt;"OK","CANAL COM PENDÊNCIA",IF(COUNTIFS($B$6:$B$305,$B130,$E$6:$E$305,$E130)&gt;1,"SKU/CANAL DUPLICADO",IF(IFERROR(OR(NOT(ISNUMBER($F130)),$F130&lt;0,MOD($F130,1)&lt;&gt;0),TRUE),"SALDO PUBLICADO INVÁLIDO",IF(IFERROR(OR(NOT(ISNUMBER($G130)),$G130&lt;0,MOD($G130,1)&lt;&gt;0),TRUE),"PEDIDOS PENDENTES INVÁLIDOS",IF(IFERROR(OR(NOT(ISNUMBER($R130)),$R130&gt;'Configurações'!$B$5),TRUE),"DATA INVÁLIDA","OK")))))))))))))</f>
        <v/>
      </c>
    </row>
    <row r="131">
      <c r="A131" s="21" t="n"/>
      <c r="B131" s="21" t="n"/>
      <c r="C131" s="27">
        <f>IFERROR(VLOOKUP($B131,'Estoque Central'!$A$6:$M$205,2,FALSE),"")</f>
        <v/>
      </c>
      <c r="D131" s="25">
        <f>IFERROR(VLOOKUP($B131,'Estoque Central'!$A$6:$M$205,3,FALSE),"")</f>
        <v/>
      </c>
      <c r="E131" s="21" t="n"/>
      <c r="F131" s="22" t="n"/>
      <c r="G131" s="22" t="n"/>
      <c r="H131" s="25">
        <f>IFERROR(VLOOKUP($E131,'Configurações'!$A$11:$F$20,2,FALSE),"")</f>
        <v/>
      </c>
      <c r="I131" s="28">
        <f>IFERROR(VLOOKUP($E131,'Configurações'!$A$11:$F$20,3,FALSE),"")</f>
        <v/>
      </c>
      <c r="J131" s="24">
        <f>IFERROR(VLOOKUP($E131,'Configurações'!$A$11:$F$20,4,FALSE),"")</f>
        <v/>
      </c>
      <c r="K131" s="24">
        <f>IFERROR(VLOOKUP($E131,'Configurações'!$A$11:$F$20,5,FALSE),"")</f>
        <v/>
      </c>
      <c r="L131" s="24">
        <f>IFERROR(VLOOKUP($B131,'Estoque Central'!$A$6:$M$205,9,FALSE),"")</f>
        <v/>
      </c>
      <c r="M131" s="24">
        <f>IF(COUNTA($A131:$B131,$E131:$G131,$R131)=0,"",IFERROR(IF(OR($C131="",$H131=""),"",IF(OR($D131&lt;&gt;"Ativo",$H131&lt;&gt;"Sim"),0,MIN(IF($J131="",$L131,$J131),ROUNDDOWN($L131*$I131,0)))),""))</f>
        <v/>
      </c>
      <c r="N131" s="24">
        <f>IF(OR($M131="",NOT(ISNUMBER($F131))),"",$M131-$F131)</f>
        <v/>
      </c>
      <c r="O131" s="25">
        <f>IF(COUNTA($A131:$B131,$E131:$G131,$R131)=0,"",IF($S131&lt;&gt;"OK","REVISAR CADASTRO",IF($N131&gt;0,"AUMENTAR",IF($N131&lt;0,"REDUZIR","SEM AÇÃO"))))</f>
        <v/>
      </c>
      <c r="P131" s="25">
        <f>IF(COUNTA($A131:$B131,$E131:$G131,$R131)=0,"",IF($S131&lt;&gt;"OK","REVISAR",IF(OR($D131&lt;&gt;"Ativo",$H131&lt;&gt;"Sim"),IF($F131&gt;0,"ALTO","SEM EXPOSIÇÃO"),IF(OR($F131&gt;$M131,SUMIFS($F$6:$F$305,$B$6:$B$305,$B131,$S$6:$S$305,"OK")&gt;$L131),"ALTO",IF(AND($F131&gt;0,$L131&lt;=$K131),"MÉDIO","BAIXO")))))</f>
        <v/>
      </c>
      <c r="Q131" s="25">
        <f>IF(COUNTA($A131:$B131,$E131:$G131,$R131)=0,"",IF($S131&lt;&gt;"OK","REVISAR",IF($O131="SEM AÇÃO","BAIXA",IF(OR($P131="ALTO",ABS($N131)&gt;='Configurações'!$B$3),"URGENTE",IF(OR($P131="MÉDIO",'Configurações'!$B$5-$R131&gt;'Configurações'!$B$4),"ALTA","NORMAL")))))</f>
        <v/>
      </c>
      <c r="R131" s="23" t="n"/>
      <c r="S131" s="25">
        <f>IF(COUNTA($A131:$B131,$E131:$G131,$R131)=0,"",IF($A131="","ID AUSENTE",IF(COUNTIF($A$6:$A$305,$A131)&gt;1,"ID DUPLICADO",IF($B131="","SKU AUSENTE",IF(COUNTIF('Estoque Central'!$A$6:$A$205,$B131)=0,"SKU NÃO CADASTRADO",IF(IFERROR(VLOOKUP($B131,'Estoque Central'!$A$6:$M$205,13,FALSE),"")&lt;&gt;"OK","ESTOQUE CENTRAL COM PENDÊNCIA",IF($E131="","CANAL AUSENTE",IF(COUNTIF('Configurações'!$A$11:$A$20,$E131)=0,"CANAL NÃO CONFIGURADO",IF(IFERROR(VLOOKUP($E131,'Configurações'!$A$11:$F$20,6,FALSE),"")&lt;&gt;"OK","CANAL COM PENDÊNCIA",IF(COUNTIFS($B$6:$B$305,$B131,$E$6:$E$305,$E131)&gt;1,"SKU/CANAL DUPLICADO",IF(IFERROR(OR(NOT(ISNUMBER($F131)),$F131&lt;0,MOD($F131,1)&lt;&gt;0),TRUE),"SALDO PUBLICADO INVÁLIDO",IF(IFERROR(OR(NOT(ISNUMBER($G131)),$G131&lt;0,MOD($G131,1)&lt;&gt;0),TRUE),"PEDIDOS PENDENTES INVÁLIDOS",IF(IFERROR(OR(NOT(ISNUMBER($R131)),$R131&gt;'Configurações'!$B$5),TRUE),"DATA INVÁLIDA","OK")))))))))))))</f>
        <v/>
      </c>
    </row>
    <row r="132">
      <c r="A132" s="21" t="n"/>
      <c r="B132" s="21" t="n"/>
      <c r="C132" s="27">
        <f>IFERROR(VLOOKUP($B132,'Estoque Central'!$A$6:$M$205,2,FALSE),"")</f>
        <v/>
      </c>
      <c r="D132" s="25">
        <f>IFERROR(VLOOKUP($B132,'Estoque Central'!$A$6:$M$205,3,FALSE),"")</f>
        <v/>
      </c>
      <c r="E132" s="21" t="n"/>
      <c r="F132" s="22" t="n"/>
      <c r="G132" s="22" t="n"/>
      <c r="H132" s="25">
        <f>IFERROR(VLOOKUP($E132,'Configurações'!$A$11:$F$20,2,FALSE),"")</f>
        <v/>
      </c>
      <c r="I132" s="28">
        <f>IFERROR(VLOOKUP($E132,'Configurações'!$A$11:$F$20,3,FALSE),"")</f>
        <v/>
      </c>
      <c r="J132" s="24">
        <f>IFERROR(VLOOKUP($E132,'Configurações'!$A$11:$F$20,4,FALSE),"")</f>
        <v/>
      </c>
      <c r="K132" s="24">
        <f>IFERROR(VLOOKUP($E132,'Configurações'!$A$11:$F$20,5,FALSE),"")</f>
        <v/>
      </c>
      <c r="L132" s="24">
        <f>IFERROR(VLOOKUP($B132,'Estoque Central'!$A$6:$M$205,9,FALSE),"")</f>
        <v/>
      </c>
      <c r="M132" s="24">
        <f>IF(COUNTA($A132:$B132,$E132:$G132,$R132)=0,"",IFERROR(IF(OR($C132="",$H132=""),"",IF(OR($D132&lt;&gt;"Ativo",$H132&lt;&gt;"Sim"),0,MIN(IF($J132="",$L132,$J132),ROUNDDOWN($L132*$I132,0)))),""))</f>
        <v/>
      </c>
      <c r="N132" s="24">
        <f>IF(OR($M132="",NOT(ISNUMBER($F132))),"",$M132-$F132)</f>
        <v/>
      </c>
      <c r="O132" s="25">
        <f>IF(COUNTA($A132:$B132,$E132:$G132,$R132)=0,"",IF($S132&lt;&gt;"OK","REVISAR CADASTRO",IF($N132&gt;0,"AUMENTAR",IF($N132&lt;0,"REDUZIR","SEM AÇÃO"))))</f>
        <v/>
      </c>
      <c r="P132" s="25">
        <f>IF(COUNTA($A132:$B132,$E132:$G132,$R132)=0,"",IF($S132&lt;&gt;"OK","REVISAR",IF(OR($D132&lt;&gt;"Ativo",$H132&lt;&gt;"Sim"),IF($F132&gt;0,"ALTO","SEM EXPOSIÇÃO"),IF(OR($F132&gt;$M132,SUMIFS($F$6:$F$305,$B$6:$B$305,$B132,$S$6:$S$305,"OK")&gt;$L132),"ALTO",IF(AND($F132&gt;0,$L132&lt;=$K132),"MÉDIO","BAIXO")))))</f>
        <v/>
      </c>
      <c r="Q132" s="25">
        <f>IF(COUNTA($A132:$B132,$E132:$G132,$R132)=0,"",IF($S132&lt;&gt;"OK","REVISAR",IF($O132="SEM AÇÃO","BAIXA",IF(OR($P132="ALTO",ABS($N132)&gt;='Configurações'!$B$3),"URGENTE",IF(OR($P132="MÉDIO",'Configurações'!$B$5-$R132&gt;'Configurações'!$B$4),"ALTA","NORMAL")))))</f>
        <v/>
      </c>
      <c r="R132" s="23" t="n"/>
      <c r="S132" s="25">
        <f>IF(COUNTA($A132:$B132,$E132:$G132,$R132)=0,"",IF($A132="","ID AUSENTE",IF(COUNTIF($A$6:$A$305,$A132)&gt;1,"ID DUPLICADO",IF($B132="","SKU AUSENTE",IF(COUNTIF('Estoque Central'!$A$6:$A$205,$B132)=0,"SKU NÃO CADASTRADO",IF(IFERROR(VLOOKUP($B132,'Estoque Central'!$A$6:$M$205,13,FALSE),"")&lt;&gt;"OK","ESTOQUE CENTRAL COM PENDÊNCIA",IF($E132="","CANAL AUSENTE",IF(COUNTIF('Configurações'!$A$11:$A$20,$E132)=0,"CANAL NÃO CONFIGURADO",IF(IFERROR(VLOOKUP($E132,'Configurações'!$A$11:$F$20,6,FALSE),"")&lt;&gt;"OK","CANAL COM PENDÊNCIA",IF(COUNTIFS($B$6:$B$305,$B132,$E$6:$E$305,$E132)&gt;1,"SKU/CANAL DUPLICADO",IF(IFERROR(OR(NOT(ISNUMBER($F132)),$F132&lt;0,MOD($F132,1)&lt;&gt;0),TRUE),"SALDO PUBLICADO INVÁLIDO",IF(IFERROR(OR(NOT(ISNUMBER($G132)),$G132&lt;0,MOD($G132,1)&lt;&gt;0),TRUE),"PEDIDOS PENDENTES INVÁLIDOS",IF(IFERROR(OR(NOT(ISNUMBER($R132)),$R132&gt;'Configurações'!$B$5),TRUE),"DATA INVÁLIDA","OK")))))))))))))</f>
        <v/>
      </c>
    </row>
    <row r="133">
      <c r="A133" s="21" t="n"/>
      <c r="B133" s="21" t="n"/>
      <c r="C133" s="27">
        <f>IFERROR(VLOOKUP($B133,'Estoque Central'!$A$6:$M$205,2,FALSE),"")</f>
        <v/>
      </c>
      <c r="D133" s="25">
        <f>IFERROR(VLOOKUP($B133,'Estoque Central'!$A$6:$M$205,3,FALSE),"")</f>
        <v/>
      </c>
      <c r="E133" s="21" t="n"/>
      <c r="F133" s="22" t="n"/>
      <c r="G133" s="22" t="n"/>
      <c r="H133" s="25">
        <f>IFERROR(VLOOKUP($E133,'Configurações'!$A$11:$F$20,2,FALSE),"")</f>
        <v/>
      </c>
      <c r="I133" s="28">
        <f>IFERROR(VLOOKUP($E133,'Configurações'!$A$11:$F$20,3,FALSE),"")</f>
        <v/>
      </c>
      <c r="J133" s="24">
        <f>IFERROR(VLOOKUP($E133,'Configurações'!$A$11:$F$20,4,FALSE),"")</f>
        <v/>
      </c>
      <c r="K133" s="24">
        <f>IFERROR(VLOOKUP($E133,'Configurações'!$A$11:$F$20,5,FALSE),"")</f>
        <v/>
      </c>
      <c r="L133" s="24">
        <f>IFERROR(VLOOKUP($B133,'Estoque Central'!$A$6:$M$205,9,FALSE),"")</f>
        <v/>
      </c>
      <c r="M133" s="24">
        <f>IF(COUNTA($A133:$B133,$E133:$G133,$R133)=0,"",IFERROR(IF(OR($C133="",$H133=""),"",IF(OR($D133&lt;&gt;"Ativo",$H133&lt;&gt;"Sim"),0,MIN(IF($J133="",$L133,$J133),ROUNDDOWN($L133*$I133,0)))),""))</f>
        <v/>
      </c>
      <c r="N133" s="24">
        <f>IF(OR($M133="",NOT(ISNUMBER($F133))),"",$M133-$F133)</f>
        <v/>
      </c>
      <c r="O133" s="25">
        <f>IF(COUNTA($A133:$B133,$E133:$G133,$R133)=0,"",IF($S133&lt;&gt;"OK","REVISAR CADASTRO",IF($N133&gt;0,"AUMENTAR",IF($N133&lt;0,"REDUZIR","SEM AÇÃO"))))</f>
        <v/>
      </c>
      <c r="P133" s="25">
        <f>IF(COUNTA($A133:$B133,$E133:$G133,$R133)=0,"",IF($S133&lt;&gt;"OK","REVISAR",IF(OR($D133&lt;&gt;"Ativo",$H133&lt;&gt;"Sim"),IF($F133&gt;0,"ALTO","SEM EXPOSIÇÃO"),IF(OR($F133&gt;$M133,SUMIFS($F$6:$F$305,$B$6:$B$305,$B133,$S$6:$S$305,"OK")&gt;$L133),"ALTO",IF(AND($F133&gt;0,$L133&lt;=$K133),"MÉDIO","BAIXO")))))</f>
        <v/>
      </c>
      <c r="Q133" s="25">
        <f>IF(COUNTA($A133:$B133,$E133:$G133,$R133)=0,"",IF($S133&lt;&gt;"OK","REVISAR",IF($O133="SEM AÇÃO","BAIXA",IF(OR($P133="ALTO",ABS($N133)&gt;='Configurações'!$B$3),"URGENTE",IF(OR($P133="MÉDIO",'Configurações'!$B$5-$R133&gt;'Configurações'!$B$4),"ALTA","NORMAL")))))</f>
        <v/>
      </c>
      <c r="R133" s="23" t="n"/>
      <c r="S133" s="25">
        <f>IF(COUNTA($A133:$B133,$E133:$G133,$R133)=0,"",IF($A133="","ID AUSENTE",IF(COUNTIF($A$6:$A$305,$A133)&gt;1,"ID DUPLICADO",IF($B133="","SKU AUSENTE",IF(COUNTIF('Estoque Central'!$A$6:$A$205,$B133)=0,"SKU NÃO CADASTRADO",IF(IFERROR(VLOOKUP($B133,'Estoque Central'!$A$6:$M$205,13,FALSE),"")&lt;&gt;"OK","ESTOQUE CENTRAL COM PENDÊNCIA",IF($E133="","CANAL AUSENTE",IF(COUNTIF('Configurações'!$A$11:$A$20,$E133)=0,"CANAL NÃO CONFIGURADO",IF(IFERROR(VLOOKUP($E133,'Configurações'!$A$11:$F$20,6,FALSE),"")&lt;&gt;"OK","CANAL COM PENDÊNCIA",IF(COUNTIFS($B$6:$B$305,$B133,$E$6:$E$305,$E133)&gt;1,"SKU/CANAL DUPLICADO",IF(IFERROR(OR(NOT(ISNUMBER($F133)),$F133&lt;0,MOD($F133,1)&lt;&gt;0),TRUE),"SALDO PUBLICADO INVÁLIDO",IF(IFERROR(OR(NOT(ISNUMBER($G133)),$G133&lt;0,MOD($G133,1)&lt;&gt;0),TRUE),"PEDIDOS PENDENTES INVÁLIDOS",IF(IFERROR(OR(NOT(ISNUMBER($R133)),$R133&gt;'Configurações'!$B$5),TRUE),"DATA INVÁLIDA","OK")))))))))))))</f>
        <v/>
      </c>
    </row>
    <row r="134">
      <c r="A134" s="21" t="n"/>
      <c r="B134" s="21" t="n"/>
      <c r="C134" s="27">
        <f>IFERROR(VLOOKUP($B134,'Estoque Central'!$A$6:$M$205,2,FALSE),"")</f>
        <v/>
      </c>
      <c r="D134" s="25">
        <f>IFERROR(VLOOKUP($B134,'Estoque Central'!$A$6:$M$205,3,FALSE),"")</f>
        <v/>
      </c>
      <c r="E134" s="21" t="n"/>
      <c r="F134" s="22" t="n"/>
      <c r="G134" s="22" t="n"/>
      <c r="H134" s="25">
        <f>IFERROR(VLOOKUP($E134,'Configurações'!$A$11:$F$20,2,FALSE),"")</f>
        <v/>
      </c>
      <c r="I134" s="28">
        <f>IFERROR(VLOOKUP($E134,'Configurações'!$A$11:$F$20,3,FALSE),"")</f>
        <v/>
      </c>
      <c r="J134" s="24">
        <f>IFERROR(VLOOKUP($E134,'Configurações'!$A$11:$F$20,4,FALSE),"")</f>
        <v/>
      </c>
      <c r="K134" s="24">
        <f>IFERROR(VLOOKUP($E134,'Configurações'!$A$11:$F$20,5,FALSE),"")</f>
        <v/>
      </c>
      <c r="L134" s="24">
        <f>IFERROR(VLOOKUP($B134,'Estoque Central'!$A$6:$M$205,9,FALSE),"")</f>
        <v/>
      </c>
      <c r="M134" s="24">
        <f>IF(COUNTA($A134:$B134,$E134:$G134,$R134)=0,"",IFERROR(IF(OR($C134="",$H134=""),"",IF(OR($D134&lt;&gt;"Ativo",$H134&lt;&gt;"Sim"),0,MIN(IF($J134="",$L134,$J134),ROUNDDOWN($L134*$I134,0)))),""))</f>
        <v/>
      </c>
      <c r="N134" s="24">
        <f>IF(OR($M134="",NOT(ISNUMBER($F134))),"",$M134-$F134)</f>
        <v/>
      </c>
      <c r="O134" s="25">
        <f>IF(COUNTA($A134:$B134,$E134:$G134,$R134)=0,"",IF($S134&lt;&gt;"OK","REVISAR CADASTRO",IF($N134&gt;0,"AUMENTAR",IF($N134&lt;0,"REDUZIR","SEM AÇÃO"))))</f>
        <v/>
      </c>
      <c r="P134" s="25">
        <f>IF(COUNTA($A134:$B134,$E134:$G134,$R134)=0,"",IF($S134&lt;&gt;"OK","REVISAR",IF(OR($D134&lt;&gt;"Ativo",$H134&lt;&gt;"Sim"),IF($F134&gt;0,"ALTO","SEM EXPOSIÇÃO"),IF(OR($F134&gt;$M134,SUMIFS($F$6:$F$305,$B$6:$B$305,$B134,$S$6:$S$305,"OK")&gt;$L134),"ALTO",IF(AND($F134&gt;0,$L134&lt;=$K134),"MÉDIO","BAIXO")))))</f>
        <v/>
      </c>
      <c r="Q134" s="25">
        <f>IF(COUNTA($A134:$B134,$E134:$G134,$R134)=0,"",IF($S134&lt;&gt;"OK","REVISAR",IF($O134="SEM AÇÃO","BAIXA",IF(OR($P134="ALTO",ABS($N134)&gt;='Configurações'!$B$3),"URGENTE",IF(OR($P134="MÉDIO",'Configurações'!$B$5-$R134&gt;'Configurações'!$B$4),"ALTA","NORMAL")))))</f>
        <v/>
      </c>
      <c r="R134" s="23" t="n"/>
      <c r="S134" s="25">
        <f>IF(COUNTA($A134:$B134,$E134:$G134,$R134)=0,"",IF($A134="","ID AUSENTE",IF(COUNTIF($A$6:$A$305,$A134)&gt;1,"ID DUPLICADO",IF($B134="","SKU AUSENTE",IF(COUNTIF('Estoque Central'!$A$6:$A$205,$B134)=0,"SKU NÃO CADASTRADO",IF(IFERROR(VLOOKUP($B134,'Estoque Central'!$A$6:$M$205,13,FALSE),"")&lt;&gt;"OK","ESTOQUE CENTRAL COM PENDÊNCIA",IF($E134="","CANAL AUSENTE",IF(COUNTIF('Configurações'!$A$11:$A$20,$E134)=0,"CANAL NÃO CONFIGURADO",IF(IFERROR(VLOOKUP($E134,'Configurações'!$A$11:$F$20,6,FALSE),"")&lt;&gt;"OK","CANAL COM PENDÊNCIA",IF(COUNTIFS($B$6:$B$305,$B134,$E$6:$E$305,$E134)&gt;1,"SKU/CANAL DUPLICADO",IF(IFERROR(OR(NOT(ISNUMBER($F134)),$F134&lt;0,MOD($F134,1)&lt;&gt;0),TRUE),"SALDO PUBLICADO INVÁLIDO",IF(IFERROR(OR(NOT(ISNUMBER($G134)),$G134&lt;0,MOD($G134,1)&lt;&gt;0),TRUE),"PEDIDOS PENDENTES INVÁLIDOS",IF(IFERROR(OR(NOT(ISNUMBER($R134)),$R134&gt;'Configurações'!$B$5),TRUE),"DATA INVÁLIDA","OK")))))))))))))</f>
        <v/>
      </c>
    </row>
    <row r="135">
      <c r="A135" s="21" t="n"/>
      <c r="B135" s="21" t="n"/>
      <c r="C135" s="27">
        <f>IFERROR(VLOOKUP($B135,'Estoque Central'!$A$6:$M$205,2,FALSE),"")</f>
        <v/>
      </c>
      <c r="D135" s="25">
        <f>IFERROR(VLOOKUP($B135,'Estoque Central'!$A$6:$M$205,3,FALSE),"")</f>
        <v/>
      </c>
      <c r="E135" s="21" t="n"/>
      <c r="F135" s="22" t="n"/>
      <c r="G135" s="22" t="n"/>
      <c r="H135" s="25">
        <f>IFERROR(VLOOKUP($E135,'Configurações'!$A$11:$F$20,2,FALSE),"")</f>
        <v/>
      </c>
      <c r="I135" s="28">
        <f>IFERROR(VLOOKUP($E135,'Configurações'!$A$11:$F$20,3,FALSE),"")</f>
        <v/>
      </c>
      <c r="J135" s="24">
        <f>IFERROR(VLOOKUP($E135,'Configurações'!$A$11:$F$20,4,FALSE),"")</f>
        <v/>
      </c>
      <c r="K135" s="24">
        <f>IFERROR(VLOOKUP($E135,'Configurações'!$A$11:$F$20,5,FALSE),"")</f>
        <v/>
      </c>
      <c r="L135" s="24">
        <f>IFERROR(VLOOKUP($B135,'Estoque Central'!$A$6:$M$205,9,FALSE),"")</f>
        <v/>
      </c>
      <c r="M135" s="24">
        <f>IF(COUNTA($A135:$B135,$E135:$G135,$R135)=0,"",IFERROR(IF(OR($C135="",$H135=""),"",IF(OR($D135&lt;&gt;"Ativo",$H135&lt;&gt;"Sim"),0,MIN(IF($J135="",$L135,$J135),ROUNDDOWN($L135*$I135,0)))),""))</f>
        <v/>
      </c>
      <c r="N135" s="24">
        <f>IF(OR($M135="",NOT(ISNUMBER($F135))),"",$M135-$F135)</f>
        <v/>
      </c>
      <c r="O135" s="25">
        <f>IF(COUNTA($A135:$B135,$E135:$G135,$R135)=0,"",IF($S135&lt;&gt;"OK","REVISAR CADASTRO",IF($N135&gt;0,"AUMENTAR",IF($N135&lt;0,"REDUZIR","SEM AÇÃO"))))</f>
        <v/>
      </c>
      <c r="P135" s="25">
        <f>IF(COUNTA($A135:$B135,$E135:$G135,$R135)=0,"",IF($S135&lt;&gt;"OK","REVISAR",IF(OR($D135&lt;&gt;"Ativo",$H135&lt;&gt;"Sim"),IF($F135&gt;0,"ALTO","SEM EXPOSIÇÃO"),IF(OR($F135&gt;$M135,SUMIFS($F$6:$F$305,$B$6:$B$305,$B135,$S$6:$S$305,"OK")&gt;$L135),"ALTO",IF(AND($F135&gt;0,$L135&lt;=$K135),"MÉDIO","BAIXO")))))</f>
        <v/>
      </c>
      <c r="Q135" s="25">
        <f>IF(COUNTA($A135:$B135,$E135:$G135,$R135)=0,"",IF($S135&lt;&gt;"OK","REVISAR",IF($O135="SEM AÇÃO","BAIXA",IF(OR($P135="ALTO",ABS($N135)&gt;='Configurações'!$B$3),"URGENTE",IF(OR($P135="MÉDIO",'Configurações'!$B$5-$R135&gt;'Configurações'!$B$4),"ALTA","NORMAL")))))</f>
        <v/>
      </c>
      <c r="R135" s="23" t="n"/>
      <c r="S135" s="25">
        <f>IF(COUNTA($A135:$B135,$E135:$G135,$R135)=0,"",IF($A135="","ID AUSENTE",IF(COUNTIF($A$6:$A$305,$A135)&gt;1,"ID DUPLICADO",IF($B135="","SKU AUSENTE",IF(COUNTIF('Estoque Central'!$A$6:$A$205,$B135)=0,"SKU NÃO CADASTRADO",IF(IFERROR(VLOOKUP($B135,'Estoque Central'!$A$6:$M$205,13,FALSE),"")&lt;&gt;"OK","ESTOQUE CENTRAL COM PENDÊNCIA",IF($E135="","CANAL AUSENTE",IF(COUNTIF('Configurações'!$A$11:$A$20,$E135)=0,"CANAL NÃO CONFIGURADO",IF(IFERROR(VLOOKUP($E135,'Configurações'!$A$11:$F$20,6,FALSE),"")&lt;&gt;"OK","CANAL COM PENDÊNCIA",IF(COUNTIFS($B$6:$B$305,$B135,$E$6:$E$305,$E135)&gt;1,"SKU/CANAL DUPLICADO",IF(IFERROR(OR(NOT(ISNUMBER($F135)),$F135&lt;0,MOD($F135,1)&lt;&gt;0),TRUE),"SALDO PUBLICADO INVÁLIDO",IF(IFERROR(OR(NOT(ISNUMBER($G135)),$G135&lt;0,MOD($G135,1)&lt;&gt;0),TRUE),"PEDIDOS PENDENTES INVÁLIDOS",IF(IFERROR(OR(NOT(ISNUMBER($R135)),$R135&gt;'Configurações'!$B$5),TRUE),"DATA INVÁLIDA","OK")))))))))))))</f>
        <v/>
      </c>
    </row>
    <row r="136">
      <c r="A136" s="21" t="n"/>
      <c r="B136" s="21" t="n"/>
      <c r="C136" s="27">
        <f>IFERROR(VLOOKUP($B136,'Estoque Central'!$A$6:$M$205,2,FALSE),"")</f>
        <v/>
      </c>
      <c r="D136" s="25">
        <f>IFERROR(VLOOKUP($B136,'Estoque Central'!$A$6:$M$205,3,FALSE),"")</f>
        <v/>
      </c>
      <c r="E136" s="21" t="n"/>
      <c r="F136" s="22" t="n"/>
      <c r="G136" s="22" t="n"/>
      <c r="H136" s="25">
        <f>IFERROR(VLOOKUP($E136,'Configurações'!$A$11:$F$20,2,FALSE),"")</f>
        <v/>
      </c>
      <c r="I136" s="28">
        <f>IFERROR(VLOOKUP($E136,'Configurações'!$A$11:$F$20,3,FALSE),"")</f>
        <v/>
      </c>
      <c r="J136" s="24">
        <f>IFERROR(VLOOKUP($E136,'Configurações'!$A$11:$F$20,4,FALSE),"")</f>
        <v/>
      </c>
      <c r="K136" s="24">
        <f>IFERROR(VLOOKUP($E136,'Configurações'!$A$11:$F$20,5,FALSE),"")</f>
        <v/>
      </c>
      <c r="L136" s="24">
        <f>IFERROR(VLOOKUP($B136,'Estoque Central'!$A$6:$M$205,9,FALSE),"")</f>
        <v/>
      </c>
      <c r="M136" s="24">
        <f>IF(COUNTA($A136:$B136,$E136:$G136,$R136)=0,"",IFERROR(IF(OR($C136="",$H136=""),"",IF(OR($D136&lt;&gt;"Ativo",$H136&lt;&gt;"Sim"),0,MIN(IF($J136="",$L136,$J136),ROUNDDOWN($L136*$I136,0)))),""))</f>
        <v/>
      </c>
      <c r="N136" s="24">
        <f>IF(OR($M136="",NOT(ISNUMBER($F136))),"",$M136-$F136)</f>
        <v/>
      </c>
      <c r="O136" s="25">
        <f>IF(COUNTA($A136:$B136,$E136:$G136,$R136)=0,"",IF($S136&lt;&gt;"OK","REVISAR CADASTRO",IF($N136&gt;0,"AUMENTAR",IF($N136&lt;0,"REDUZIR","SEM AÇÃO"))))</f>
        <v/>
      </c>
      <c r="P136" s="25">
        <f>IF(COUNTA($A136:$B136,$E136:$G136,$R136)=0,"",IF($S136&lt;&gt;"OK","REVISAR",IF(OR($D136&lt;&gt;"Ativo",$H136&lt;&gt;"Sim"),IF($F136&gt;0,"ALTO","SEM EXPOSIÇÃO"),IF(OR($F136&gt;$M136,SUMIFS($F$6:$F$305,$B$6:$B$305,$B136,$S$6:$S$305,"OK")&gt;$L136),"ALTO",IF(AND($F136&gt;0,$L136&lt;=$K136),"MÉDIO","BAIXO")))))</f>
        <v/>
      </c>
      <c r="Q136" s="25">
        <f>IF(COUNTA($A136:$B136,$E136:$G136,$R136)=0,"",IF($S136&lt;&gt;"OK","REVISAR",IF($O136="SEM AÇÃO","BAIXA",IF(OR($P136="ALTO",ABS($N136)&gt;='Configurações'!$B$3),"URGENTE",IF(OR($P136="MÉDIO",'Configurações'!$B$5-$R136&gt;'Configurações'!$B$4),"ALTA","NORMAL")))))</f>
        <v/>
      </c>
      <c r="R136" s="23" t="n"/>
      <c r="S136" s="25">
        <f>IF(COUNTA($A136:$B136,$E136:$G136,$R136)=0,"",IF($A136="","ID AUSENTE",IF(COUNTIF($A$6:$A$305,$A136)&gt;1,"ID DUPLICADO",IF($B136="","SKU AUSENTE",IF(COUNTIF('Estoque Central'!$A$6:$A$205,$B136)=0,"SKU NÃO CADASTRADO",IF(IFERROR(VLOOKUP($B136,'Estoque Central'!$A$6:$M$205,13,FALSE),"")&lt;&gt;"OK","ESTOQUE CENTRAL COM PENDÊNCIA",IF($E136="","CANAL AUSENTE",IF(COUNTIF('Configurações'!$A$11:$A$20,$E136)=0,"CANAL NÃO CONFIGURADO",IF(IFERROR(VLOOKUP($E136,'Configurações'!$A$11:$F$20,6,FALSE),"")&lt;&gt;"OK","CANAL COM PENDÊNCIA",IF(COUNTIFS($B$6:$B$305,$B136,$E$6:$E$305,$E136)&gt;1,"SKU/CANAL DUPLICADO",IF(IFERROR(OR(NOT(ISNUMBER($F136)),$F136&lt;0,MOD($F136,1)&lt;&gt;0),TRUE),"SALDO PUBLICADO INVÁLIDO",IF(IFERROR(OR(NOT(ISNUMBER($G136)),$G136&lt;0,MOD($G136,1)&lt;&gt;0),TRUE),"PEDIDOS PENDENTES INVÁLIDOS",IF(IFERROR(OR(NOT(ISNUMBER($R136)),$R136&gt;'Configurações'!$B$5),TRUE),"DATA INVÁLIDA","OK")))))))))))))</f>
        <v/>
      </c>
    </row>
    <row r="137">
      <c r="A137" s="21" t="n"/>
      <c r="B137" s="21" t="n"/>
      <c r="C137" s="27">
        <f>IFERROR(VLOOKUP($B137,'Estoque Central'!$A$6:$M$205,2,FALSE),"")</f>
        <v/>
      </c>
      <c r="D137" s="25">
        <f>IFERROR(VLOOKUP($B137,'Estoque Central'!$A$6:$M$205,3,FALSE),"")</f>
        <v/>
      </c>
      <c r="E137" s="21" t="n"/>
      <c r="F137" s="22" t="n"/>
      <c r="G137" s="22" t="n"/>
      <c r="H137" s="25">
        <f>IFERROR(VLOOKUP($E137,'Configurações'!$A$11:$F$20,2,FALSE),"")</f>
        <v/>
      </c>
      <c r="I137" s="28">
        <f>IFERROR(VLOOKUP($E137,'Configurações'!$A$11:$F$20,3,FALSE),"")</f>
        <v/>
      </c>
      <c r="J137" s="24">
        <f>IFERROR(VLOOKUP($E137,'Configurações'!$A$11:$F$20,4,FALSE),"")</f>
        <v/>
      </c>
      <c r="K137" s="24">
        <f>IFERROR(VLOOKUP($E137,'Configurações'!$A$11:$F$20,5,FALSE),"")</f>
        <v/>
      </c>
      <c r="L137" s="24">
        <f>IFERROR(VLOOKUP($B137,'Estoque Central'!$A$6:$M$205,9,FALSE),"")</f>
        <v/>
      </c>
      <c r="M137" s="24">
        <f>IF(COUNTA($A137:$B137,$E137:$G137,$R137)=0,"",IFERROR(IF(OR($C137="",$H137=""),"",IF(OR($D137&lt;&gt;"Ativo",$H137&lt;&gt;"Sim"),0,MIN(IF($J137="",$L137,$J137),ROUNDDOWN($L137*$I137,0)))),""))</f>
        <v/>
      </c>
      <c r="N137" s="24">
        <f>IF(OR($M137="",NOT(ISNUMBER($F137))),"",$M137-$F137)</f>
        <v/>
      </c>
      <c r="O137" s="25">
        <f>IF(COUNTA($A137:$B137,$E137:$G137,$R137)=0,"",IF($S137&lt;&gt;"OK","REVISAR CADASTRO",IF($N137&gt;0,"AUMENTAR",IF($N137&lt;0,"REDUZIR","SEM AÇÃO"))))</f>
        <v/>
      </c>
      <c r="P137" s="25">
        <f>IF(COUNTA($A137:$B137,$E137:$G137,$R137)=0,"",IF($S137&lt;&gt;"OK","REVISAR",IF(OR($D137&lt;&gt;"Ativo",$H137&lt;&gt;"Sim"),IF($F137&gt;0,"ALTO","SEM EXPOSIÇÃO"),IF(OR($F137&gt;$M137,SUMIFS($F$6:$F$305,$B$6:$B$305,$B137,$S$6:$S$305,"OK")&gt;$L137),"ALTO",IF(AND($F137&gt;0,$L137&lt;=$K137),"MÉDIO","BAIXO")))))</f>
        <v/>
      </c>
      <c r="Q137" s="25">
        <f>IF(COUNTA($A137:$B137,$E137:$G137,$R137)=0,"",IF($S137&lt;&gt;"OK","REVISAR",IF($O137="SEM AÇÃO","BAIXA",IF(OR($P137="ALTO",ABS($N137)&gt;='Configurações'!$B$3),"URGENTE",IF(OR($P137="MÉDIO",'Configurações'!$B$5-$R137&gt;'Configurações'!$B$4),"ALTA","NORMAL")))))</f>
        <v/>
      </c>
      <c r="R137" s="23" t="n"/>
      <c r="S137" s="25">
        <f>IF(COUNTA($A137:$B137,$E137:$G137,$R137)=0,"",IF($A137="","ID AUSENTE",IF(COUNTIF($A$6:$A$305,$A137)&gt;1,"ID DUPLICADO",IF($B137="","SKU AUSENTE",IF(COUNTIF('Estoque Central'!$A$6:$A$205,$B137)=0,"SKU NÃO CADASTRADO",IF(IFERROR(VLOOKUP($B137,'Estoque Central'!$A$6:$M$205,13,FALSE),"")&lt;&gt;"OK","ESTOQUE CENTRAL COM PENDÊNCIA",IF($E137="","CANAL AUSENTE",IF(COUNTIF('Configurações'!$A$11:$A$20,$E137)=0,"CANAL NÃO CONFIGURADO",IF(IFERROR(VLOOKUP($E137,'Configurações'!$A$11:$F$20,6,FALSE),"")&lt;&gt;"OK","CANAL COM PENDÊNCIA",IF(COUNTIFS($B$6:$B$305,$B137,$E$6:$E$305,$E137)&gt;1,"SKU/CANAL DUPLICADO",IF(IFERROR(OR(NOT(ISNUMBER($F137)),$F137&lt;0,MOD($F137,1)&lt;&gt;0),TRUE),"SALDO PUBLICADO INVÁLIDO",IF(IFERROR(OR(NOT(ISNUMBER($G137)),$G137&lt;0,MOD($G137,1)&lt;&gt;0),TRUE),"PEDIDOS PENDENTES INVÁLIDOS",IF(IFERROR(OR(NOT(ISNUMBER($R137)),$R137&gt;'Configurações'!$B$5),TRUE),"DATA INVÁLIDA","OK")))))))))))))</f>
        <v/>
      </c>
    </row>
    <row r="138">
      <c r="A138" s="21" t="n"/>
      <c r="B138" s="21" t="n"/>
      <c r="C138" s="27">
        <f>IFERROR(VLOOKUP($B138,'Estoque Central'!$A$6:$M$205,2,FALSE),"")</f>
        <v/>
      </c>
      <c r="D138" s="25">
        <f>IFERROR(VLOOKUP($B138,'Estoque Central'!$A$6:$M$205,3,FALSE),"")</f>
        <v/>
      </c>
      <c r="E138" s="21" t="n"/>
      <c r="F138" s="22" t="n"/>
      <c r="G138" s="22" t="n"/>
      <c r="H138" s="25">
        <f>IFERROR(VLOOKUP($E138,'Configurações'!$A$11:$F$20,2,FALSE),"")</f>
        <v/>
      </c>
      <c r="I138" s="28">
        <f>IFERROR(VLOOKUP($E138,'Configurações'!$A$11:$F$20,3,FALSE),"")</f>
        <v/>
      </c>
      <c r="J138" s="24">
        <f>IFERROR(VLOOKUP($E138,'Configurações'!$A$11:$F$20,4,FALSE),"")</f>
        <v/>
      </c>
      <c r="K138" s="24">
        <f>IFERROR(VLOOKUP($E138,'Configurações'!$A$11:$F$20,5,FALSE),"")</f>
        <v/>
      </c>
      <c r="L138" s="24">
        <f>IFERROR(VLOOKUP($B138,'Estoque Central'!$A$6:$M$205,9,FALSE),"")</f>
        <v/>
      </c>
      <c r="M138" s="24">
        <f>IF(COUNTA($A138:$B138,$E138:$G138,$R138)=0,"",IFERROR(IF(OR($C138="",$H138=""),"",IF(OR($D138&lt;&gt;"Ativo",$H138&lt;&gt;"Sim"),0,MIN(IF($J138="",$L138,$J138),ROUNDDOWN($L138*$I138,0)))),""))</f>
        <v/>
      </c>
      <c r="N138" s="24">
        <f>IF(OR($M138="",NOT(ISNUMBER($F138))),"",$M138-$F138)</f>
        <v/>
      </c>
      <c r="O138" s="25">
        <f>IF(COUNTA($A138:$B138,$E138:$G138,$R138)=0,"",IF($S138&lt;&gt;"OK","REVISAR CADASTRO",IF($N138&gt;0,"AUMENTAR",IF($N138&lt;0,"REDUZIR","SEM AÇÃO"))))</f>
        <v/>
      </c>
      <c r="P138" s="25">
        <f>IF(COUNTA($A138:$B138,$E138:$G138,$R138)=0,"",IF($S138&lt;&gt;"OK","REVISAR",IF(OR($D138&lt;&gt;"Ativo",$H138&lt;&gt;"Sim"),IF($F138&gt;0,"ALTO","SEM EXPOSIÇÃO"),IF(OR($F138&gt;$M138,SUMIFS($F$6:$F$305,$B$6:$B$305,$B138,$S$6:$S$305,"OK")&gt;$L138),"ALTO",IF(AND($F138&gt;0,$L138&lt;=$K138),"MÉDIO","BAIXO")))))</f>
        <v/>
      </c>
      <c r="Q138" s="25">
        <f>IF(COUNTA($A138:$B138,$E138:$G138,$R138)=0,"",IF($S138&lt;&gt;"OK","REVISAR",IF($O138="SEM AÇÃO","BAIXA",IF(OR($P138="ALTO",ABS($N138)&gt;='Configurações'!$B$3),"URGENTE",IF(OR($P138="MÉDIO",'Configurações'!$B$5-$R138&gt;'Configurações'!$B$4),"ALTA","NORMAL")))))</f>
        <v/>
      </c>
      <c r="R138" s="23" t="n"/>
      <c r="S138" s="25">
        <f>IF(COUNTA($A138:$B138,$E138:$G138,$R138)=0,"",IF($A138="","ID AUSENTE",IF(COUNTIF($A$6:$A$305,$A138)&gt;1,"ID DUPLICADO",IF($B138="","SKU AUSENTE",IF(COUNTIF('Estoque Central'!$A$6:$A$205,$B138)=0,"SKU NÃO CADASTRADO",IF(IFERROR(VLOOKUP($B138,'Estoque Central'!$A$6:$M$205,13,FALSE),"")&lt;&gt;"OK","ESTOQUE CENTRAL COM PENDÊNCIA",IF($E138="","CANAL AUSENTE",IF(COUNTIF('Configurações'!$A$11:$A$20,$E138)=0,"CANAL NÃO CONFIGURADO",IF(IFERROR(VLOOKUP($E138,'Configurações'!$A$11:$F$20,6,FALSE),"")&lt;&gt;"OK","CANAL COM PENDÊNCIA",IF(COUNTIFS($B$6:$B$305,$B138,$E$6:$E$305,$E138)&gt;1,"SKU/CANAL DUPLICADO",IF(IFERROR(OR(NOT(ISNUMBER($F138)),$F138&lt;0,MOD($F138,1)&lt;&gt;0),TRUE),"SALDO PUBLICADO INVÁLIDO",IF(IFERROR(OR(NOT(ISNUMBER($G138)),$G138&lt;0,MOD($G138,1)&lt;&gt;0),TRUE),"PEDIDOS PENDENTES INVÁLIDOS",IF(IFERROR(OR(NOT(ISNUMBER($R138)),$R138&gt;'Configurações'!$B$5),TRUE),"DATA INVÁLIDA","OK")))))))))))))</f>
        <v/>
      </c>
    </row>
    <row r="139">
      <c r="A139" s="21" t="n"/>
      <c r="B139" s="21" t="n"/>
      <c r="C139" s="27">
        <f>IFERROR(VLOOKUP($B139,'Estoque Central'!$A$6:$M$205,2,FALSE),"")</f>
        <v/>
      </c>
      <c r="D139" s="25">
        <f>IFERROR(VLOOKUP($B139,'Estoque Central'!$A$6:$M$205,3,FALSE),"")</f>
        <v/>
      </c>
      <c r="E139" s="21" t="n"/>
      <c r="F139" s="22" t="n"/>
      <c r="G139" s="22" t="n"/>
      <c r="H139" s="25">
        <f>IFERROR(VLOOKUP($E139,'Configurações'!$A$11:$F$20,2,FALSE),"")</f>
        <v/>
      </c>
      <c r="I139" s="28">
        <f>IFERROR(VLOOKUP($E139,'Configurações'!$A$11:$F$20,3,FALSE),"")</f>
        <v/>
      </c>
      <c r="J139" s="24">
        <f>IFERROR(VLOOKUP($E139,'Configurações'!$A$11:$F$20,4,FALSE),"")</f>
        <v/>
      </c>
      <c r="K139" s="24">
        <f>IFERROR(VLOOKUP($E139,'Configurações'!$A$11:$F$20,5,FALSE),"")</f>
        <v/>
      </c>
      <c r="L139" s="24">
        <f>IFERROR(VLOOKUP($B139,'Estoque Central'!$A$6:$M$205,9,FALSE),"")</f>
        <v/>
      </c>
      <c r="M139" s="24">
        <f>IF(COUNTA($A139:$B139,$E139:$G139,$R139)=0,"",IFERROR(IF(OR($C139="",$H139=""),"",IF(OR($D139&lt;&gt;"Ativo",$H139&lt;&gt;"Sim"),0,MIN(IF($J139="",$L139,$J139),ROUNDDOWN($L139*$I139,0)))),""))</f>
        <v/>
      </c>
      <c r="N139" s="24">
        <f>IF(OR($M139="",NOT(ISNUMBER($F139))),"",$M139-$F139)</f>
        <v/>
      </c>
      <c r="O139" s="25">
        <f>IF(COUNTA($A139:$B139,$E139:$G139,$R139)=0,"",IF($S139&lt;&gt;"OK","REVISAR CADASTRO",IF($N139&gt;0,"AUMENTAR",IF($N139&lt;0,"REDUZIR","SEM AÇÃO"))))</f>
        <v/>
      </c>
      <c r="P139" s="25">
        <f>IF(COUNTA($A139:$B139,$E139:$G139,$R139)=0,"",IF($S139&lt;&gt;"OK","REVISAR",IF(OR($D139&lt;&gt;"Ativo",$H139&lt;&gt;"Sim"),IF($F139&gt;0,"ALTO","SEM EXPOSIÇÃO"),IF(OR($F139&gt;$M139,SUMIFS($F$6:$F$305,$B$6:$B$305,$B139,$S$6:$S$305,"OK")&gt;$L139),"ALTO",IF(AND($F139&gt;0,$L139&lt;=$K139),"MÉDIO","BAIXO")))))</f>
        <v/>
      </c>
      <c r="Q139" s="25">
        <f>IF(COUNTA($A139:$B139,$E139:$G139,$R139)=0,"",IF($S139&lt;&gt;"OK","REVISAR",IF($O139="SEM AÇÃO","BAIXA",IF(OR($P139="ALTO",ABS($N139)&gt;='Configurações'!$B$3),"URGENTE",IF(OR($P139="MÉDIO",'Configurações'!$B$5-$R139&gt;'Configurações'!$B$4),"ALTA","NORMAL")))))</f>
        <v/>
      </c>
      <c r="R139" s="23" t="n"/>
      <c r="S139" s="25">
        <f>IF(COUNTA($A139:$B139,$E139:$G139,$R139)=0,"",IF($A139="","ID AUSENTE",IF(COUNTIF($A$6:$A$305,$A139)&gt;1,"ID DUPLICADO",IF($B139="","SKU AUSENTE",IF(COUNTIF('Estoque Central'!$A$6:$A$205,$B139)=0,"SKU NÃO CADASTRADO",IF(IFERROR(VLOOKUP($B139,'Estoque Central'!$A$6:$M$205,13,FALSE),"")&lt;&gt;"OK","ESTOQUE CENTRAL COM PENDÊNCIA",IF($E139="","CANAL AUSENTE",IF(COUNTIF('Configurações'!$A$11:$A$20,$E139)=0,"CANAL NÃO CONFIGURADO",IF(IFERROR(VLOOKUP($E139,'Configurações'!$A$11:$F$20,6,FALSE),"")&lt;&gt;"OK","CANAL COM PENDÊNCIA",IF(COUNTIFS($B$6:$B$305,$B139,$E$6:$E$305,$E139)&gt;1,"SKU/CANAL DUPLICADO",IF(IFERROR(OR(NOT(ISNUMBER($F139)),$F139&lt;0,MOD($F139,1)&lt;&gt;0),TRUE),"SALDO PUBLICADO INVÁLIDO",IF(IFERROR(OR(NOT(ISNUMBER($G139)),$G139&lt;0,MOD($G139,1)&lt;&gt;0),TRUE),"PEDIDOS PENDENTES INVÁLIDOS",IF(IFERROR(OR(NOT(ISNUMBER($R139)),$R139&gt;'Configurações'!$B$5),TRUE),"DATA INVÁLIDA","OK")))))))))))))</f>
        <v/>
      </c>
    </row>
    <row r="140">
      <c r="A140" s="21" t="n"/>
      <c r="B140" s="21" t="n"/>
      <c r="C140" s="27">
        <f>IFERROR(VLOOKUP($B140,'Estoque Central'!$A$6:$M$205,2,FALSE),"")</f>
        <v/>
      </c>
      <c r="D140" s="25">
        <f>IFERROR(VLOOKUP($B140,'Estoque Central'!$A$6:$M$205,3,FALSE),"")</f>
        <v/>
      </c>
      <c r="E140" s="21" t="n"/>
      <c r="F140" s="22" t="n"/>
      <c r="G140" s="22" t="n"/>
      <c r="H140" s="25">
        <f>IFERROR(VLOOKUP($E140,'Configurações'!$A$11:$F$20,2,FALSE),"")</f>
        <v/>
      </c>
      <c r="I140" s="28">
        <f>IFERROR(VLOOKUP($E140,'Configurações'!$A$11:$F$20,3,FALSE),"")</f>
        <v/>
      </c>
      <c r="J140" s="24">
        <f>IFERROR(VLOOKUP($E140,'Configurações'!$A$11:$F$20,4,FALSE),"")</f>
        <v/>
      </c>
      <c r="K140" s="24">
        <f>IFERROR(VLOOKUP($E140,'Configurações'!$A$11:$F$20,5,FALSE),"")</f>
        <v/>
      </c>
      <c r="L140" s="24">
        <f>IFERROR(VLOOKUP($B140,'Estoque Central'!$A$6:$M$205,9,FALSE),"")</f>
        <v/>
      </c>
      <c r="M140" s="24">
        <f>IF(COUNTA($A140:$B140,$E140:$G140,$R140)=0,"",IFERROR(IF(OR($C140="",$H140=""),"",IF(OR($D140&lt;&gt;"Ativo",$H140&lt;&gt;"Sim"),0,MIN(IF($J140="",$L140,$J140),ROUNDDOWN($L140*$I140,0)))),""))</f>
        <v/>
      </c>
      <c r="N140" s="24">
        <f>IF(OR($M140="",NOT(ISNUMBER($F140))),"",$M140-$F140)</f>
        <v/>
      </c>
      <c r="O140" s="25">
        <f>IF(COUNTA($A140:$B140,$E140:$G140,$R140)=0,"",IF($S140&lt;&gt;"OK","REVISAR CADASTRO",IF($N140&gt;0,"AUMENTAR",IF($N140&lt;0,"REDUZIR","SEM AÇÃO"))))</f>
        <v/>
      </c>
      <c r="P140" s="25">
        <f>IF(COUNTA($A140:$B140,$E140:$G140,$R140)=0,"",IF($S140&lt;&gt;"OK","REVISAR",IF(OR($D140&lt;&gt;"Ativo",$H140&lt;&gt;"Sim"),IF($F140&gt;0,"ALTO","SEM EXPOSIÇÃO"),IF(OR($F140&gt;$M140,SUMIFS($F$6:$F$305,$B$6:$B$305,$B140,$S$6:$S$305,"OK")&gt;$L140),"ALTO",IF(AND($F140&gt;0,$L140&lt;=$K140),"MÉDIO","BAIXO")))))</f>
        <v/>
      </c>
      <c r="Q140" s="25">
        <f>IF(COUNTA($A140:$B140,$E140:$G140,$R140)=0,"",IF($S140&lt;&gt;"OK","REVISAR",IF($O140="SEM AÇÃO","BAIXA",IF(OR($P140="ALTO",ABS($N140)&gt;='Configurações'!$B$3),"URGENTE",IF(OR($P140="MÉDIO",'Configurações'!$B$5-$R140&gt;'Configurações'!$B$4),"ALTA","NORMAL")))))</f>
        <v/>
      </c>
      <c r="R140" s="23" t="n"/>
      <c r="S140" s="25">
        <f>IF(COUNTA($A140:$B140,$E140:$G140,$R140)=0,"",IF($A140="","ID AUSENTE",IF(COUNTIF($A$6:$A$305,$A140)&gt;1,"ID DUPLICADO",IF($B140="","SKU AUSENTE",IF(COUNTIF('Estoque Central'!$A$6:$A$205,$B140)=0,"SKU NÃO CADASTRADO",IF(IFERROR(VLOOKUP($B140,'Estoque Central'!$A$6:$M$205,13,FALSE),"")&lt;&gt;"OK","ESTOQUE CENTRAL COM PENDÊNCIA",IF($E140="","CANAL AUSENTE",IF(COUNTIF('Configurações'!$A$11:$A$20,$E140)=0,"CANAL NÃO CONFIGURADO",IF(IFERROR(VLOOKUP($E140,'Configurações'!$A$11:$F$20,6,FALSE),"")&lt;&gt;"OK","CANAL COM PENDÊNCIA",IF(COUNTIFS($B$6:$B$305,$B140,$E$6:$E$305,$E140)&gt;1,"SKU/CANAL DUPLICADO",IF(IFERROR(OR(NOT(ISNUMBER($F140)),$F140&lt;0,MOD($F140,1)&lt;&gt;0),TRUE),"SALDO PUBLICADO INVÁLIDO",IF(IFERROR(OR(NOT(ISNUMBER($G140)),$G140&lt;0,MOD($G140,1)&lt;&gt;0),TRUE),"PEDIDOS PENDENTES INVÁLIDOS",IF(IFERROR(OR(NOT(ISNUMBER($R140)),$R140&gt;'Configurações'!$B$5),TRUE),"DATA INVÁLIDA","OK")))))))))))))</f>
        <v/>
      </c>
    </row>
    <row r="141">
      <c r="A141" s="21" t="n"/>
      <c r="B141" s="21" t="n"/>
      <c r="C141" s="27">
        <f>IFERROR(VLOOKUP($B141,'Estoque Central'!$A$6:$M$205,2,FALSE),"")</f>
        <v/>
      </c>
      <c r="D141" s="25">
        <f>IFERROR(VLOOKUP($B141,'Estoque Central'!$A$6:$M$205,3,FALSE),"")</f>
        <v/>
      </c>
      <c r="E141" s="21" t="n"/>
      <c r="F141" s="22" t="n"/>
      <c r="G141" s="22" t="n"/>
      <c r="H141" s="25">
        <f>IFERROR(VLOOKUP($E141,'Configurações'!$A$11:$F$20,2,FALSE),"")</f>
        <v/>
      </c>
      <c r="I141" s="28">
        <f>IFERROR(VLOOKUP($E141,'Configurações'!$A$11:$F$20,3,FALSE),"")</f>
        <v/>
      </c>
      <c r="J141" s="24">
        <f>IFERROR(VLOOKUP($E141,'Configurações'!$A$11:$F$20,4,FALSE),"")</f>
        <v/>
      </c>
      <c r="K141" s="24">
        <f>IFERROR(VLOOKUP($E141,'Configurações'!$A$11:$F$20,5,FALSE),"")</f>
        <v/>
      </c>
      <c r="L141" s="24">
        <f>IFERROR(VLOOKUP($B141,'Estoque Central'!$A$6:$M$205,9,FALSE),"")</f>
        <v/>
      </c>
      <c r="M141" s="24">
        <f>IF(COUNTA($A141:$B141,$E141:$G141,$R141)=0,"",IFERROR(IF(OR($C141="",$H141=""),"",IF(OR($D141&lt;&gt;"Ativo",$H141&lt;&gt;"Sim"),0,MIN(IF($J141="",$L141,$J141),ROUNDDOWN($L141*$I141,0)))),""))</f>
        <v/>
      </c>
      <c r="N141" s="24">
        <f>IF(OR($M141="",NOT(ISNUMBER($F141))),"",$M141-$F141)</f>
        <v/>
      </c>
      <c r="O141" s="25">
        <f>IF(COUNTA($A141:$B141,$E141:$G141,$R141)=0,"",IF($S141&lt;&gt;"OK","REVISAR CADASTRO",IF($N141&gt;0,"AUMENTAR",IF($N141&lt;0,"REDUZIR","SEM AÇÃO"))))</f>
        <v/>
      </c>
      <c r="P141" s="25">
        <f>IF(COUNTA($A141:$B141,$E141:$G141,$R141)=0,"",IF($S141&lt;&gt;"OK","REVISAR",IF(OR($D141&lt;&gt;"Ativo",$H141&lt;&gt;"Sim"),IF($F141&gt;0,"ALTO","SEM EXPOSIÇÃO"),IF(OR($F141&gt;$M141,SUMIFS($F$6:$F$305,$B$6:$B$305,$B141,$S$6:$S$305,"OK")&gt;$L141),"ALTO",IF(AND($F141&gt;0,$L141&lt;=$K141),"MÉDIO","BAIXO")))))</f>
        <v/>
      </c>
      <c r="Q141" s="25">
        <f>IF(COUNTA($A141:$B141,$E141:$G141,$R141)=0,"",IF($S141&lt;&gt;"OK","REVISAR",IF($O141="SEM AÇÃO","BAIXA",IF(OR($P141="ALTO",ABS($N141)&gt;='Configurações'!$B$3),"URGENTE",IF(OR($P141="MÉDIO",'Configurações'!$B$5-$R141&gt;'Configurações'!$B$4),"ALTA","NORMAL")))))</f>
        <v/>
      </c>
      <c r="R141" s="23" t="n"/>
      <c r="S141" s="25">
        <f>IF(COUNTA($A141:$B141,$E141:$G141,$R141)=0,"",IF($A141="","ID AUSENTE",IF(COUNTIF($A$6:$A$305,$A141)&gt;1,"ID DUPLICADO",IF($B141="","SKU AUSENTE",IF(COUNTIF('Estoque Central'!$A$6:$A$205,$B141)=0,"SKU NÃO CADASTRADO",IF(IFERROR(VLOOKUP($B141,'Estoque Central'!$A$6:$M$205,13,FALSE),"")&lt;&gt;"OK","ESTOQUE CENTRAL COM PENDÊNCIA",IF($E141="","CANAL AUSENTE",IF(COUNTIF('Configurações'!$A$11:$A$20,$E141)=0,"CANAL NÃO CONFIGURADO",IF(IFERROR(VLOOKUP($E141,'Configurações'!$A$11:$F$20,6,FALSE),"")&lt;&gt;"OK","CANAL COM PENDÊNCIA",IF(COUNTIFS($B$6:$B$305,$B141,$E$6:$E$305,$E141)&gt;1,"SKU/CANAL DUPLICADO",IF(IFERROR(OR(NOT(ISNUMBER($F141)),$F141&lt;0,MOD($F141,1)&lt;&gt;0),TRUE),"SALDO PUBLICADO INVÁLIDO",IF(IFERROR(OR(NOT(ISNUMBER($G141)),$G141&lt;0,MOD($G141,1)&lt;&gt;0),TRUE),"PEDIDOS PENDENTES INVÁLIDOS",IF(IFERROR(OR(NOT(ISNUMBER($R141)),$R141&gt;'Configurações'!$B$5),TRUE),"DATA INVÁLIDA","OK")))))))))))))</f>
        <v/>
      </c>
    </row>
    <row r="142">
      <c r="A142" s="21" t="n"/>
      <c r="B142" s="21" t="n"/>
      <c r="C142" s="27">
        <f>IFERROR(VLOOKUP($B142,'Estoque Central'!$A$6:$M$205,2,FALSE),"")</f>
        <v/>
      </c>
      <c r="D142" s="25">
        <f>IFERROR(VLOOKUP($B142,'Estoque Central'!$A$6:$M$205,3,FALSE),"")</f>
        <v/>
      </c>
      <c r="E142" s="21" t="n"/>
      <c r="F142" s="22" t="n"/>
      <c r="G142" s="22" t="n"/>
      <c r="H142" s="25">
        <f>IFERROR(VLOOKUP($E142,'Configurações'!$A$11:$F$20,2,FALSE),"")</f>
        <v/>
      </c>
      <c r="I142" s="28">
        <f>IFERROR(VLOOKUP($E142,'Configurações'!$A$11:$F$20,3,FALSE),"")</f>
        <v/>
      </c>
      <c r="J142" s="24">
        <f>IFERROR(VLOOKUP($E142,'Configurações'!$A$11:$F$20,4,FALSE),"")</f>
        <v/>
      </c>
      <c r="K142" s="24">
        <f>IFERROR(VLOOKUP($E142,'Configurações'!$A$11:$F$20,5,FALSE),"")</f>
        <v/>
      </c>
      <c r="L142" s="24">
        <f>IFERROR(VLOOKUP($B142,'Estoque Central'!$A$6:$M$205,9,FALSE),"")</f>
        <v/>
      </c>
      <c r="M142" s="24">
        <f>IF(COUNTA($A142:$B142,$E142:$G142,$R142)=0,"",IFERROR(IF(OR($C142="",$H142=""),"",IF(OR($D142&lt;&gt;"Ativo",$H142&lt;&gt;"Sim"),0,MIN(IF($J142="",$L142,$J142),ROUNDDOWN($L142*$I142,0)))),""))</f>
        <v/>
      </c>
      <c r="N142" s="24">
        <f>IF(OR($M142="",NOT(ISNUMBER($F142))),"",$M142-$F142)</f>
        <v/>
      </c>
      <c r="O142" s="25">
        <f>IF(COUNTA($A142:$B142,$E142:$G142,$R142)=0,"",IF($S142&lt;&gt;"OK","REVISAR CADASTRO",IF($N142&gt;0,"AUMENTAR",IF($N142&lt;0,"REDUZIR","SEM AÇÃO"))))</f>
        <v/>
      </c>
      <c r="P142" s="25">
        <f>IF(COUNTA($A142:$B142,$E142:$G142,$R142)=0,"",IF($S142&lt;&gt;"OK","REVISAR",IF(OR($D142&lt;&gt;"Ativo",$H142&lt;&gt;"Sim"),IF($F142&gt;0,"ALTO","SEM EXPOSIÇÃO"),IF(OR($F142&gt;$M142,SUMIFS($F$6:$F$305,$B$6:$B$305,$B142,$S$6:$S$305,"OK")&gt;$L142),"ALTO",IF(AND($F142&gt;0,$L142&lt;=$K142),"MÉDIO","BAIXO")))))</f>
        <v/>
      </c>
      <c r="Q142" s="25">
        <f>IF(COUNTA($A142:$B142,$E142:$G142,$R142)=0,"",IF($S142&lt;&gt;"OK","REVISAR",IF($O142="SEM AÇÃO","BAIXA",IF(OR($P142="ALTO",ABS($N142)&gt;='Configurações'!$B$3),"URGENTE",IF(OR($P142="MÉDIO",'Configurações'!$B$5-$R142&gt;'Configurações'!$B$4),"ALTA","NORMAL")))))</f>
        <v/>
      </c>
      <c r="R142" s="23" t="n"/>
      <c r="S142" s="25">
        <f>IF(COUNTA($A142:$B142,$E142:$G142,$R142)=0,"",IF($A142="","ID AUSENTE",IF(COUNTIF($A$6:$A$305,$A142)&gt;1,"ID DUPLICADO",IF($B142="","SKU AUSENTE",IF(COUNTIF('Estoque Central'!$A$6:$A$205,$B142)=0,"SKU NÃO CADASTRADO",IF(IFERROR(VLOOKUP($B142,'Estoque Central'!$A$6:$M$205,13,FALSE),"")&lt;&gt;"OK","ESTOQUE CENTRAL COM PENDÊNCIA",IF($E142="","CANAL AUSENTE",IF(COUNTIF('Configurações'!$A$11:$A$20,$E142)=0,"CANAL NÃO CONFIGURADO",IF(IFERROR(VLOOKUP($E142,'Configurações'!$A$11:$F$20,6,FALSE),"")&lt;&gt;"OK","CANAL COM PENDÊNCIA",IF(COUNTIFS($B$6:$B$305,$B142,$E$6:$E$305,$E142)&gt;1,"SKU/CANAL DUPLICADO",IF(IFERROR(OR(NOT(ISNUMBER($F142)),$F142&lt;0,MOD($F142,1)&lt;&gt;0),TRUE),"SALDO PUBLICADO INVÁLIDO",IF(IFERROR(OR(NOT(ISNUMBER($G142)),$G142&lt;0,MOD($G142,1)&lt;&gt;0),TRUE),"PEDIDOS PENDENTES INVÁLIDOS",IF(IFERROR(OR(NOT(ISNUMBER($R142)),$R142&gt;'Configurações'!$B$5),TRUE),"DATA INVÁLIDA","OK")))))))))))))</f>
        <v/>
      </c>
    </row>
    <row r="143">
      <c r="A143" s="21" t="n"/>
      <c r="B143" s="21" t="n"/>
      <c r="C143" s="27">
        <f>IFERROR(VLOOKUP($B143,'Estoque Central'!$A$6:$M$205,2,FALSE),"")</f>
        <v/>
      </c>
      <c r="D143" s="25">
        <f>IFERROR(VLOOKUP($B143,'Estoque Central'!$A$6:$M$205,3,FALSE),"")</f>
        <v/>
      </c>
      <c r="E143" s="21" t="n"/>
      <c r="F143" s="22" t="n"/>
      <c r="G143" s="22" t="n"/>
      <c r="H143" s="25">
        <f>IFERROR(VLOOKUP($E143,'Configurações'!$A$11:$F$20,2,FALSE),"")</f>
        <v/>
      </c>
      <c r="I143" s="28">
        <f>IFERROR(VLOOKUP($E143,'Configurações'!$A$11:$F$20,3,FALSE),"")</f>
        <v/>
      </c>
      <c r="J143" s="24">
        <f>IFERROR(VLOOKUP($E143,'Configurações'!$A$11:$F$20,4,FALSE),"")</f>
        <v/>
      </c>
      <c r="K143" s="24">
        <f>IFERROR(VLOOKUP($E143,'Configurações'!$A$11:$F$20,5,FALSE),"")</f>
        <v/>
      </c>
      <c r="L143" s="24">
        <f>IFERROR(VLOOKUP($B143,'Estoque Central'!$A$6:$M$205,9,FALSE),"")</f>
        <v/>
      </c>
      <c r="M143" s="24">
        <f>IF(COUNTA($A143:$B143,$E143:$G143,$R143)=0,"",IFERROR(IF(OR($C143="",$H143=""),"",IF(OR($D143&lt;&gt;"Ativo",$H143&lt;&gt;"Sim"),0,MIN(IF($J143="",$L143,$J143),ROUNDDOWN($L143*$I143,0)))),""))</f>
        <v/>
      </c>
      <c r="N143" s="24">
        <f>IF(OR($M143="",NOT(ISNUMBER($F143))),"",$M143-$F143)</f>
        <v/>
      </c>
      <c r="O143" s="25">
        <f>IF(COUNTA($A143:$B143,$E143:$G143,$R143)=0,"",IF($S143&lt;&gt;"OK","REVISAR CADASTRO",IF($N143&gt;0,"AUMENTAR",IF($N143&lt;0,"REDUZIR","SEM AÇÃO"))))</f>
        <v/>
      </c>
      <c r="P143" s="25">
        <f>IF(COUNTA($A143:$B143,$E143:$G143,$R143)=0,"",IF($S143&lt;&gt;"OK","REVISAR",IF(OR($D143&lt;&gt;"Ativo",$H143&lt;&gt;"Sim"),IF($F143&gt;0,"ALTO","SEM EXPOSIÇÃO"),IF(OR($F143&gt;$M143,SUMIFS($F$6:$F$305,$B$6:$B$305,$B143,$S$6:$S$305,"OK")&gt;$L143),"ALTO",IF(AND($F143&gt;0,$L143&lt;=$K143),"MÉDIO","BAIXO")))))</f>
        <v/>
      </c>
      <c r="Q143" s="25">
        <f>IF(COUNTA($A143:$B143,$E143:$G143,$R143)=0,"",IF($S143&lt;&gt;"OK","REVISAR",IF($O143="SEM AÇÃO","BAIXA",IF(OR($P143="ALTO",ABS($N143)&gt;='Configurações'!$B$3),"URGENTE",IF(OR($P143="MÉDIO",'Configurações'!$B$5-$R143&gt;'Configurações'!$B$4),"ALTA","NORMAL")))))</f>
        <v/>
      </c>
      <c r="R143" s="23" t="n"/>
      <c r="S143" s="25">
        <f>IF(COUNTA($A143:$B143,$E143:$G143,$R143)=0,"",IF($A143="","ID AUSENTE",IF(COUNTIF($A$6:$A$305,$A143)&gt;1,"ID DUPLICADO",IF($B143="","SKU AUSENTE",IF(COUNTIF('Estoque Central'!$A$6:$A$205,$B143)=0,"SKU NÃO CADASTRADO",IF(IFERROR(VLOOKUP($B143,'Estoque Central'!$A$6:$M$205,13,FALSE),"")&lt;&gt;"OK","ESTOQUE CENTRAL COM PENDÊNCIA",IF($E143="","CANAL AUSENTE",IF(COUNTIF('Configurações'!$A$11:$A$20,$E143)=0,"CANAL NÃO CONFIGURADO",IF(IFERROR(VLOOKUP($E143,'Configurações'!$A$11:$F$20,6,FALSE),"")&lt;&gt;"OK","CANAL COM PENDÊNCIA",IF(COUNTIFS($B$6:$B$305,$B143,$E$6:$E$305,$E143)&gt;1,"SKU/CANAL DUPLICADO",IF(IFERROR(OR(NOT(ISNUMBER($F143)),$F143&lt;0,MOD($F143,1)&lt;&gt;0),TRUE),"SALDO PUBLICADO INVÁLIDO",IF(IFERROR(OR(NOT(ISNUMBER($G143)),$G143&lt;0,MOD($G143,1)&lt;&gt;0),TRUE),"PEDIDOS PENDENTES INVÁLIDOS",IF(IFERROR(OR(NOT(ISNUMBER($R143)),$R143&gt;'Configurações'!$B$5),TRUE),"DATA INVÁLIDA","OK")))))))))))))</f>
        <v/>
      </c>
    </row>
    <row r="144">
      <c r="A144" s="21" t="n"/>
      <c r="B144" s="21" t="n"/>
      <c r="C144" s="27">
        <f>IFERROR(VLOOKUP($B144,'Estoque Central'!$A$6:$M$205,2,FALSE),"")</f>
        <v/>
      </c>
      <c r="D144" s="25">
        <f>IFERROR(VLOOKUP($B144,'Estoque Central'!$A$6:$M$205,3,FALSE),"")</f>
        <v/>
      </c>
      <c r="E144" s="21" t="n"/>
      <c r="F144" s="22" t="n"/>
      <c r="G144" s="22" t="n"/>
      <c r="H144" s="25">
        <f>IFERROR(VLOOKUP($E144,'Configurações'!$A$11:$F$20,2,FALSE),"")</f>
        <v/>
      </c>
      <c r="I144" s="28">
        <f>IFERROR(VLOOKUP($E144,'Configurações'!$A$11:$F$20,3,FALSE),"")</f>
        <v/>
      </c>
      <c r="J144" s="24">
        <f>IFERROR(VLOOKUP($E144,'Configurações'!$A$11:$F$20,4,FALSE),"")</f>
        <v/>
      </c>
      <c r="K144" s="24">
        <f>IFERROR(VLOOKUP($E144,'Configurações'!$A$11:$F$20,5,FALSE),"")</f>
        <v/>
      </c>
      <c r="L144" s="24">
        <f>IFERROR(VLOOKUP($B144,'Estoque Central'!$A$6:$M$205,9,FALSE),"")</f>
        <v/>
      </c>
      <c r="M144" s="24">
        <f>IF(COUNTA($A144:$B144,$E144:$G144,$R144)=0,"",IFERROR(IF(OR($C144="",$H144=""),"",IF(OR($D144&lt;&gt;"Ativo",$H144&lt;&gt;"Sim"),0,MIN(IF($J144="",$L144,$J144),ROUNDDOWN($L144*$I144,0)))),""))</f>
        <v/>
      </c>
      <c r="N144" s="24">
        <f>IF(OR($M144="",NOT(ISNUMBER($F144))),"",$M144-$F144)</f>
        <v/>
      </c>
      <c r="O144" s="25">
        <f>IF(COUNTA($A144:$B144,$E144:$G144,$R144)=0,"",IF($S144&lt;&gt;"OK","REVISAR CADASTRO",IF($N144&gt;0,"AUMENTAR",IF($N144&lt;0,"REDUZIR","SEM AÇÃO"))))</f>
        <v/>
      </c>
      <c r="P144" s="25">
        <f>IF(COUNTA($A144:$B144,$E144:$G144,$R144)=0,"",IF($S144&lt;&gt;"OK","REVISAR",IF(OR($D144&lt;&gt;"Ativo",$H144&lt;&gt;"Sim"),IF($F144&gt;0,"ALTO","SEM EXPOSIÇÃO"),IF(OR($F144&gt;$M144,SUMIFS($F$6:$F$305,$B$6:$B$305,$B144,$S$6:$S$305,"OK")&gt;$L144),"ALTO",IF(AND($F144&gt;0,$L144&lt;=$K144),"MÉDIO","BAIXO")))))</f>
        <v/>
      </c>
      <c r="Q144" s="25">
        <f>IF(COUNTA($A144:$B144,$E144:$G144,$R144)=0,"",IF($S144&lt;&gt;"OK","REVISAR",IF($O144="SEM AÇÃO","BAIXA",IF(OR($P144="ALTO",ABS($N144)&gt;='Configurações'!$B$3),"URGENTE",IF(OR($P144="MÉDIO",'Configurações'!$B$5-$R144&gt;'Configurações'!$B$4),"ALTA","NORMAL")))))</f>
        <v/>
      </c>
      <c r="R144" s="23" t="n"/>
      <c r="S144" s="25">
        <f>IF(COUNTA($A144:$B144,$E144:$G144,$R144)=0,"",IF($A144="","ID AUSENTE",IF(COUNTIF($A$6:$A$305,$A144)&gt;1,"ID DUPLICADO",IF($B144="","SKU AUSENTE",IF(COUNTIF('Estoque Central'!$A$6:$A$205,$B144)=0,"SKU NÃO CADASTRADO",IF(IFERROR(VLOOKUP($B144,'Estoque Central'!$A$6:$M$205,13,FALSE),"")&lt;&gt;"OK","ESTOQUE CENTRAL COM PENDÊNCIA",IF($E144="","CANAL AUSENTE",IF(COUNTIF('Configurações'!$A$11:$A$20,$E144)=0,"CANAL NÃO CONFIGURADO",IF(IFERROR(VLOOKUP($E144,'Configurações'!$A$11:$F$20,6,FALSE),"")&lt;&gt;"OK","CANAL COM PENDÊNCIA",IF(COUNTIFS($B$6:$B$305,$B144,$E$6:$E$305,$E144)&gt;1,"SKU/CANAL DUPLICADO",IF(IFERROR(OR(NOT(ISNUMBER($F144)),$F144&lt;0,MOD($F144,1)&lt;&gt;0),TRUE),"SALDO PUBLICADO INVÁLIDO",IF(IFERROR(OR(NOT(ISNUMBER($G144)),$G144&lt;0,MOD($G144,1)&lt;&gt;0),TRUE),"PEDIDOS PENDENTES INVÁLIDOS",IF(IFERROR(OR(NOT(ISNUMBER($R144)),$R144&gt;'Configurações'!$B$5),TRUE),"DATA INVÁLIDA","OK")))))))))))))</f>
        <v/>
      </c>
    </row>
    <row r="145">
      <c r="A145" s="21" t="n"/>
      <c r="B145" s="21" t="n"/>
      <c r="C145" s="27">
        <f>IFERROR(VLOOKUP($B145,'Estoque Central'!$A$6:$M$205,2,FALSE),"")</f>
        <v/>
      </c>
      <c r="D145" s="25">
        <f>IFERROR(VLOOKUP($B145,'Estoque Central'!$A$6:$M$205,3,FALSE),"")</f>
        <v/>
      </c>
      <c r="E145" s="21" t="n"/>
      <c r="F145" s="22" t="n"/>
      <c r="G145" s="22" t="n"/>
      <c r="H145" s="25">
        <f>IFERROR(VLOOKUP($E145,'Configurações'!$A$11:$F$20,2,FALSE),"")</f>
        <v/>
      </c>
      <c r="I145" s="28">
        <f>IFERROR(VLOOKUP($E145,'Configurações'!$A$11:$F$20,3,FALSE),"")</f>
        <v/>
      </c>
      <c r="J145" s="24">
        <f>IFERROR(VLOOKUP($E145,'Configurações'!$A$11:$F$20,4,FALSE),"")</f>
        <v/>
      </c>
      <c r="K145" s="24">
        <f>IFERROR(VLOOKUP($E145,'Configurações'!$A$11:$F$20,5,FALSE),"")</f>
        <v/>
      </c>
      <c r="L145" s="24">
        <f>IFERROR(VLOOKUP($B145,'Estoque Central'!$A$6:$M$205,9,FALSE),"")</f>
        <v/>
      </c>
      <c r="M145" s="24">
        <f>IF(COUNTA($A145:$B145,$E145:$G145,$R145)=0,"",IFERROR(IF(OR($C145="",$H145=""),"",IF(OR($D145&lt;&gt;"Ativo",$H145&lt;&gt;"Sim"),0,MIN(IF($J145="",$L145,$J145),ROUNDDOWN($L145*$I145,0)))),""))</f>
        <v/>
      </c>
      <c r="N145" s="24">
        <f>IF(OR($M145="",NOT(ISNUMBER($F145))),"",$M145-$F145)</f>
        <v/>
      </c>
      <c r="O145" s="25">
        <f>IF(COUNTA($A145:$B145,$E145:$G145,$R145)=0,"",IF($S145&lt;&gt;"OK","REVISAR CADASTRO",IF($N145&gt;0,"AUMENTAR",IF($N145&lt;0,"REDUZIR","SEM AÇÃO"))))</f>
        <v/>
      </c>
      <c r="P145" s="25">
        <f>IF(COUNTA($A145:$B145,$E145:$G145,$R145)=0,"",IF($S145&lt;&gt;"OK","REVISAR",IF(OR($D145&lt;&gt;"Ativo",$H145&lt;&gt;"Sim"),IF($F145&gt;0,"ALTO","SEM EXPOSIÇÃO"),IF(OR($F145&gt;$M145,SUMIFS($F$6:$F$305,$B$6:$B$305,$B145,$S$6:$S$305,"OK")&gt;$L145),"ALTO",IF(AND($F145&gt;0,$L145&lt;=$K145),"MÉDIO","BAIXO")))))</f>
        <v/>
      </c>
      <c r="Q145" s="25">
        <f>IF(COUNTA($A145:$B145,$E145:$G145,$R145)=0,"",IF($S145&lt;&gt;"OK","REVISAR",IF($O145="SEM AÇÃO","BAIXA",IF(OR($P145="ALTO",ABS($N145)&gt;='Configurações'!$B$3),"URGENTE",IF(OR($P145="MÉDIO",'Configurações'!$B$5-$R145&gt;'Configurações'!$B$4),"ALTA","NORMAL")))))</f>
        <v/>
      </c>
      <c r="R145" s="23" t="n"/>
      <c r="S145" s="25">
        <f>IF(COUNTA($A145:$B145,$E145:$G145,$R145)=0,"",IF($A145="","ID AUSENTE",IF(COUNTIF($A$6:$A$305,$A145)&gt;1,"ID DUPLICADO",IF($B145="","SKU AUSENTE",IF(COUNTIF('Estoque Central'!$A$6:$A$205,$B145)=0,"SKU NÃO CADASTRADO",IF(IFERROR(VLOOKUP($B145,'Estoque Central'!$A$6:$M$205,13,FALSE),"")&lt;&gt;"OK","ESTOQUE CENTRAL COM PENDÊNCIA",IF($E145="","CANAL AUSENTE",IF(COUNTIF('Configurações'!$A$11:$A$20,$E145)=0,"CANAL NÃO CONFIGURADO",IF(IFERROR(VLOOKUP($E145,'Configurações'!$A$11:$F$20,6,FALSE),"")&lt;&gt;"OK","CANAL COM PENDÊNCIA",IF(COUNTIFS($B$6:$B$305,$B145,$E$6:$E$305,$E145)&gt;1,"SKU/CANAL DUPLICADO",IF(IFERROR(OR(NOT(ISNUMBER($F145)),$F145&lt;0,MOD($F145,1)&lt;&gt;0),TRUE),"SALDO PUBLICADO INVÁLIDO",IF(IFERROR(OR(NOT(ISNUMBER($G145)),$G145&lt;0,MOD($G145,1)&lt;&gt;0),TRUE),"PEDIDOS PENDENTES INVÁLIDOS",IF(IFERROR(OR(NOT(ISNUMBER($R145)),$R145&gt;'Configurações'!$B$5),TRUE),"DATA INVÁLIDA","OK")))))))))))))</f>
        <v/>
      </c>
    </row>
    <row r="146">
      <c r="A146" s="21" t="n"/>
      <c r="B146" s="21" t="n"/>
      <c r="C146" s="27">
        <f>IFERROR(VLOOKUP($B146,'Estoque Central'!$A$6:$M$205,2,FALSE),"")</f>
        <v/>
      </c>
      <c r="D146" s="25">
        <f>IFERROR(VLOOKUP($B146,'Estoque Central'!$A$6:$M$205,3,FALSE),"")</f>
        <v/>
      </c>
      <c r="E146" s="21" t="n"/>
      <c r="F146" s="22" t="n"/>
      <c r="G146" s="22" t="n"/>
      <c r="H146" s="25">
        <f>IFERROR(VLOOKUP($E146,'Configurações'!$A$11:$F$20,2,FALSE),"")</f>
        <v/>
      </c>
      <c r="I146" s="28">
        <f>IFERROR(VLOOKUP($E146,'Configurações'!$A$11:$F$20,3,FALSE),"")</f>
        <v/>
      </c>
      <c r="J146" s="24">
        <f>IFERROR(VLOOKUP($E146,'Configurações'!$A$11:$F$20,4,FALSE),"")</f>
        <v/>
      </c>
      <c r="K146" s="24">
        <f>IFERROR(VLOOKUP($E146,'Configurações'!$A$11:$F$20,5,FALSE),"")</f>
        <v/>
      </c>
      <c r="L146" s="24">
        <f>IFERROR(VLOOKUP($B146,'Estoque Central'!$A$6:$M$205,9,FALSE),"")</f>
        <v/>
      </c>
      <c r="M146" s="24">
        <f>IF(COUNTA($A146:$B146,$E146:$G146,$R146)=0,"",IFERROR(IF(OR($C146="",$H146=""),"",IF(OR($D146&lt;&gt;"Ativo",$H146&lt;&gt;"Sim"),0,MIN(IF($J146="",$L146,$J146),ROUNDDOWN($L146*$I146,0)))),""))</f>
        <v/>
      </c>
      <c r="N146" s="24">
        <f>IF(OR($M146="",NOT(ISNUMBER($F146))),"",$M146-$F146)</f>
        <v/>
      </c>
      <c r="O146" s="25">
        <f>IF(COUNTA($A146:$B146,$E146:$G146,$R146)=0,"",IF($S146&lt;&gt;"OK","REVISAR CADASTRO",IF($N146&gt;0,"AUMENTAR",IF($N146&lt;0,"REDUZIR","SEM AÇÃO"))))</f>
        <v/>
      </c>
      <c r="P146" s="25">
        <f>IF(COUNTA($A146:$B146,$E146:$G146,$R146)=0,"",IF($S146&lt;&gt;"OK","REVISAR",IF(OR($D146&lt;&gt;"Ativo",$H146&lt;&gt;"Sim"),IF($F146&gt;0,"ALTO","SEM EXPOSIÇÃO"),IF(OR($F146&gt;$M146,SUMIFS($F$6:$F$305,$B$6:$B$305,$B146,$S$6:$S$305,"OK")&gt;$L146),"ALTO",IF(AND($F146&gt;0,$L146&lt;=$K146),"MÉDIO","BAIXO")))))</f>
        <v/>
      </c>
      <c r="Q146" s="25">
        <f>IF(COUNTA($A146:$B146,$E146:$G146,$R146)=0,"",IF($S146&lt;&gt;"OK","REVISAR",IF($O146="SEM AÇÃO","BAIXA",IF(OR($P146="ALTO",ABS($N146)&gt;='Configurações'!$B$3),"URGENTE",IF(OR($P146="MÉDIO",'Configurações'!$B$5-$R146&gt;'Configurações'!$B$4),"ALTA","NORMAL")))))</f>
        <v/>
      </c>
      <c r="R146" s="23" t="n"/>
      <c r="S146" s="25">
        <f>IF(COUNTA($A146:$B146,$E146:$G146,$R146)=0,"",IF($A146="","ID AUSENTE",IF(COUNTIF($A$6:$A$305,$A146)&gt;1,"ID DUPLICADO",IF($B146="","SKU AUSENTE",IF(COUNTIF('Estoque Central'!$A$6:$A$205,$B146)=0,"SKU NÃO CADASTRADO",IF(IFERROR(VLOOKUP($B146,'Estoque Central'!$A$6:$M$205,13,FALSE),"")&lt;&gt;"OK","ESTOQUE CENTRAL COM PENDÊNCIA",IF($E146="","CANAL AUSENTE",IF(COUNTIF('Configurações'!$A$11:$A$20,$E146)=0,"CANAL NÃO CONFIGURADO",IF(IFERROR(VLOOKUP($E146,'Configurações'!$A$11:$F$20,6,FALSE),"")&lt;&gt;"OK","CANAL COM PENDÊNCIA",IF(COUNTIFS($B$6:$B$305,$B146,$E$6:$E$305,$E146)&gt;1,"SKU/CANAL DUPLICADO",IF(IFERROR(OR(NOT(ISNUMBER($F146)),$F146&lt;0,MOD($F146,1)&lt;&gt;0),TRUE),"SALDO PUBLICADO INVÁLIDO",IF(IFERROR(OR(NOT(ISNUMBER($G146)),$G146&lt;0,MOD($G146,1)&lt;&gt;0),TRUE),"PEDIDOS PENDENTES INVÁLIDOS",IF(IFERROR(OR(NOT(ISNUMBER($R146)),$R146&gt;'Configurações'!$B$5),TRUE),"DATA INVÁLIDA","OK")))))))))))))</f>
        <v/>
      </c>
    </row>
    <row r="147">
      <c r="A147" s="21" t="n"/>
      <c r="B147" s="21" t="n"/>
      <c r="C147" s="27">
        <f>IFERROR(VLOOKUP($B147,'Estoque Central'!$A$6:$M$205,2,FALSE),"")</f>
        <v/>
      </c>
      <c r="D147" s="25">
        <f>IFERROR(VLOOKUP($B147,'Estoque Central'!$A$6:$M$205,3,FALSE),"")</f>
        <v/>
      </c>
      <c r="E147" s="21" t="n"/>
      <c r="F147" s="22" t="n"/>
      <c r="G147" s="22" t="n"/>
      <c r="H147" s="25">
        <f>IFERROR(VLOOKUP($E147,'Configurações'!$A$11:$F$20,2,FALSE),"")</f>
        <v/>
      </c>
      <c r="I147" s="28">
        <f>IFERROR(VLOOKUP($E147,'Configurações'!$A$11:$F$20,3,FALSE),"")</f>
        <v/>
      </c>
      <c r="J147" s="24">
        <f>IFERROR(VLOOKUP($E147,'Configurações'!$A$11:$F$20,4,FALSE),"")</f>
        <v/>
      </c>
      <c r="K147" s="24">
        <f>IFERROR(VLOOKUP($E147,'Configurações'!$A$11:$F$20,5,FALSE),"")</f>
        <v/>
      </c>
      <c r="L147" s="24">
        <f>IFERROR(VLOOKUP($B147,'Estoque Central'!$A$6:$M$205,9,FALSE),"")</f>
        <v/>
      </c>
      <c r="M147" s="24">
        <f>IF(COUNTA($A147:$B147,$E147:$G147,$R147)=0,"",IFERROR(IF(OR($C147="",$H147=""),"",IF(OR($D147&lt;&gt;"Ativo",$H147&lt;&gt;"Sim"),0,MIN(IF($J147="",$L147,$J147),ROUNDDOWN($L147*$I147,0)))),""))</f>
        <v/>
      </c>
      <c r="N147" s="24">
        <f>IF(OR($M147="",NOT(ISNUMBER($F147))),"",$M147-$F147)</f>
        <v/>
      </c>
      <c r="O147" s="25">
        <f>IF(COUNTA($A147:$B147,$E147:$G147,$R147)=0,"",IF($S147&lt;&gt;"OK","REVISAR CADASTRO",IF($N147&gt;0,"AUMENTAR",IF($N147&lt;0,"REDUZIR","SEM AÇÃO"))))</f>
        <v/>
      </c>
      <c r="P147" s="25">
        <f>IF(COUNTA($A147:$B147,$E147:$G147,$R147)=0,"",IF($S147&lt;&gt;"OK","REVISAR",IF(OR($D147&lt;&gt;"Ativo",$H147&lt;&gt;"Sim"),IF($F147&gt;0,"ALTO","SEM EXPOSIÇÃO"),IF(OR($F147&gt;$M147,SUMIFS($F$6:$F$305,$B$6:$B$305,$B147,$S$6:$S$305,"OK")&gt;$L147),"ALTO",IF(AND($F147&gt;0,$L147&lt;=$K147),"MÉDIO","BAIXO")))))</f>
        <v/>
      </c>
      <c r="Q147" s="25">
        <f>IF(COUNTA($A147:$B147,$E147:$G147,$R147)=0,"",IF($S147&lt;&gt;"OK","REVISAR",IF($O147="SEM AÇÃO","BAIXA",IF(OR($P147="ALTO",ABS($N147)&gt;='Configurações'!$B$3),"URGENTE",IF(OR($P147="MÉDIO",'Configurações'!$B$5-$R147&gt;'Configurações'!$B$4),"ALTA","NORMAL")))))</f>
        <v/>
      </c>
      <c r="R147" s="23" t="n"/>
      <c r="S147" s="25">
        <f>IF(COUNTA($A147:$B147,$E147:$G147,$R147)=0,"",IF($A147="","ID AUSENTE",IF(COUNTIF($A$6:$A$305,$A147)&gt;1,"ID DUPLICADO",IF($B147="","SKU AUSENTE",IF(COUNTIF('Estoque Central'!$A$6:$A$205,$B147)=0,"SKU NÃO CADASTRADO",IF(IFERROR(VLOOKUP($B147,'Estoque Central'!$A$6:$M$205,13,FALSE),"")&lt;&gt;"OK","ESTOQUE CENTRAL COM PENDÊNCIA",IF($E147="","CANAL AUSENTE",IF(COUNTIF('Configurações'!$A$11:$A$20,$E147)=0,"CANAL NÃO CONFIGURADO",IF(IFERROR(VLOOKUP($E147,'Configurações'!$A$11:$F$20,6,FALSE),"")&lt;&gt;"OK","CANAL COM PENDÊNCIA",IF(COUNTIFS($B$6:$B$305,$B147,$E$6:$E$305,$E147)&gt;1,"SKU/CANAL DUPLICADO",IF(IFERROR(OR(NOT(ISNUMBER($F147)),$F147&lt;0,MOD($F147,1)&lt;&gt;0),TRUE),"SALDO PUBLICADO INVÁLIDO",IF(IFERROR(OR(NOT(ISNUMBER($G147)),$G147&lt;0,MOD($G147,1)&lt;&gt;0),TRUE),"PEDIDOS PENDENTES INVÁLIDOS",IF(IFERROR(OR(NOT(ISNUMBER($R147)),$R147&gt;'Configurações'!$B$5),TRUE),"DATA INVÁLIDA","OK")))))))))))))</f>
        <v/>
      </c>
    </row>
    <row r="148">
      <c r="A148" s="21" t="n"/>
      <c r="B148" s="21" t="n"/>
      <c r="C148" s="27">
        <f>IFERROR(VLOOKUP($B148,'Estoque Central'!$A$6:$M$205,2,FALSE),"")</f>
        <v/>
      </c>
      <c r="D148" s="25">
        <f>IFERROR(VLOOKUP($B148,'Estoque Central'!$A$6:$M$205,3,FALSE),"")</f>
        <v/>
      </c>
      <c r="E148" s="21" t="n"/>
      <c r="F148" s="22" t="n"/>
      <c r="G148" s="22" t="n"/>
      <c r="H148" s="25">
        <f>IFERROR(VLOOKUP($E148,'Configurações'!$A$11:$F$20,2,FALSE),"")</f>
        <v/>
      </c>
      <c r="I148" s="28">
        <f>IFERROR(VLOOKUP($E148,'Configurações'!$A$11:$F$20,3,FALSE),"")</f>
        <v/>
      </c>
      <c r="J148" s="24">
        <f>IFERROR(VLOOKUP($E148,'Configurações'!$A$11:$F$20,4,FALSE),"")</f>
        <v/>
      </c>
      <c r="K148" s="24">
        <f>IFERROR(VLOOKUP($E148,'Configurações'!$A$11:$F$20,5,FALSE),"")</f>
        <v/>
      </c>
      <c r="L148" s="24">
        <f>IFERROR(VLOOKUP($B148,'Estoque Central'!$A$6:$M$205,9,FALSE),"")</f>
        <v/>
      </c>
      <c r="M148" s="24">
        <f>IF(COUNTA($A148:$B148,$E148:$G148,$R148)=0,"",IFERROR(IF(OR($C148="",$H148=""),"",IF(OR($D148&lt;&gt;"Ativo",$H148&lt;&gt;"Sim"),0,MIN(IF($J148="",$L148,$J148),ROUNDDOWN($L148*$I148,0)))),""))</f>
        <v/>
      </c>
      <c r="N148" s="24">
        <f>IF(OR($M148="",NOT(ISNUMBER($F148))),"",$M148-$F148)</f>
        <v/>
      </c>
      <c r="O148" s="25">
        <f>IF(COUNTA($A148:$B148,$E148:$G148,$R148)=0,"",IF($S148&lt;&gt;"OK","REVISAR CADASTRO",IF($N148&gt;0,"AUMENTAR",IF($N148&lt;0,"REDUZIR","SEM AÇÃO"))))</f>
        <v/>
      </c>
      <c r="P148" s="25">
        <f>IF(COUNTA($A148:$B148,$E148:$G148,$R148)=0,"",IF($S148&lt;&gt;"OK","REVISAR",IF(OR($D148&lt;&gt;"Ativo",$H148&lt;&gt;"Sim"),IF($F148&gt;0,"ALTO","SEM EXPOSIÇÃO"),IF(OR($F148&gt;$M148,SUMIFS($F$6:$F$305,$B$6:$B$305,$B148,$S$6:$S$305,"OK")&gt;$L148),"ALTO",IF(AND($F148&gt;0,$L148&lt;=$K148),"MÉDIO","BAIXO")))))</f>
        <v/>
      </c>
      <c r="Q148" s="25">
        <f>IF(COUNTA($A148:$B148,$E148:$G148,$R148)=0,"",IF($S148&lt;&gt;"OK","REVISAR",IF($O148="SEM AÇÃO","BAIXA",IF(OR($P148="ALTO",ABS($N148)&gt;='Configurações'!$B$3),"URGENTE",IF(OR($P148="MÉDIO",'Configurações'!$B$5-$R148&gt;'Configurações'!$B$4),"ALTA","NORMAL")))))</f>
        <v/>
      </c>
      <c r="R148" s="23" t="n"/>
      <c r="S148" s="25">
        <f>IF(COUNTA($A148:$B148,$E148:$G148,$R148)=0,"",IF($A148="","ID AUSENTE",IF(COUNTIF($A$6:$A$305,$A148)&gt;1,"ID DUPLICADO",IF($B148="","SKU AUSENTE",IF(COUNTIF('Estoque Central'!$A$6:$A$205,$B148)=0,"SKU NÃO CADASTRADO",IF(IFERROR(VLOOKUP($B148,'Estoque Central'!$A$6:$M$205,13,FALSE),"")&lt;&gt;"OK","ESTOQUE CENTRAL COM PENDÊNCIA",IF($E148="","CANAL AUSENTE",IF(COUNTIF('Configurações'!$A$11:$A$20,$E148)=0,"CANAL NÃO CONFIGURADO",IF(IFERROR(VLOOKUP($E148,'Configurações'!$A$11:$F$20,6,FALSE),"")&lt;&gt;"OK","CANAL COM PENDÊNCIA",IF(COUNTIFS($B$6:$B$305,$B148,$E$6:$E$305,$E148)&gt;1,"SKU/CANAL DUPLICADO",IF(IFERROR(OR(NOT(ISNUMBER($F148)),$F148&lt;0,MOD($F148,1)&lt;&gt;0),TRUE),"SALDO PUBLICADO INVÁLIDO",IF(IFERROR(OR(NOT(ISNUMBER($G148)),$G148&lt;0,MOD($G148,1)&lt;&gt;0),TRUE),"PEDIDOS PENDENTES INVÁLIDOS",IF(IFERROR(OR(NOT(ISNUMBER($R148)),$R148&gt;'Configurações'!$B$5),TRUE),"DATA INVÁLIDA","OK")))))))))))))</f>
        <v/>
      </c>
    </row>
    <row r="149">
      <c r="A149" s="21" t="n"/>
      <c r="B149" s="21" t="n"/>
      <c r="C149" s="27">
        <f>IFERROR(VLOOKUP($B149,'Estoque Central'!$A$6:$M$205,2,FALSE),"")</f>
        <v/>
      </c>
      <c r="D149" s="25">
        <f>IFERROR(VLOOKUP($B149,'Estoque Central'!$A$6:$M$205,3,FALSE),"")</f>
        <v/>
      </c>
      <c r="E149" s="21" t="n"/>
      <c r="F149" s="22" t="n"/>
      <c r="G149" s="22" t="n"/>
      <c r="H149" s="25">
        <f>IFERROR(VLOOKUP($E149,'Configurações'!$A$11:$F$20,2,FALSE),"")</f>
        <v/>
      </c>
      <c r="I149" s="28">
        <f>IFERROR(VLOOKUP($E149,'Configurações'!$A$11:$F$20,3,FALSE),"")</f>
        <v/>
      </c>
      <c r="J149" s="24">
        <f>IFERROR(VLOOKUP($E149,'Configurações'!$A$11:$F$20,4,FALSE),"")</f>
        <v/>
      </c>
      <c r="K149" s="24">
        <f>IFERROR(VLOOKUP($E149,'Configurações'!$A$11:$F$20,5,FALSE),"")</f>
        <v/>
      </c>
      <c r="L149" s="24">
        <f>IFERROR(VLOOKUP($B149,'Estoque Central'!$A$6:$M$205,9,FALSE),"")</f>
        <v/>
      </c>
      <c r="M149" s="24">
        <f>IF(COUNTA($A149:$B149,$E149:$G149,$R149)=0,"",IFERROR(IF(OR($C149="",$H149=""),"",IF(OR($D149&lt;&gt;"Ativo",$H149&lt;&gt;"Sim"),0,MIN(IF($J149="",$L149,$J149),ROUNDDOWN($L149*$I149,0)))),""))</f>
        <v/>
      </c>
      <c r="N149" s="24">
        <f>IF(OR($M149="",NOT(ISNUMBER($F149))),"",$M149-$F149)</f>
        <v/>
      </c>
      <c r="O149" s="25">
        <f>IF(COUNTA($A149:$B149,$E149:$G149,$R149)=0,"",IF($S149&lt;&gt;"OK","REVISAR CADASTRO",IF($N149&gt;0,"AUMENTAR",IF($N149&lt;0,"REDUZIR","SEM AÇÃO"))))</f>
        <v/>
      </c>
      <c r="P149" s="25">
        <f>IF(COUNTA($A149:$B149,$E149:$G149,$R149)=0,"",IF($S149&lt;&gt;"OK","REVISAR",IF(OR($D149&lt;&gt;"Ativo",$H149&lt;&gt;"Sim"),IF($F149&gt;0,"ALTO","SEM EXPOSIÇÃO"),IF(OR($F149&gt;$M149,SUMIFS($F$6:$F$305,$B$6:$B$305,$B149,$S$6:$S$305,"OK")&gt;$L149),"ALTO",IF(AND($F149&gt;0,$L149&lt;=$K149),"MÉDIO","BAIXO")))))</f>
        <v/>
      </c>
      <c r="Q149" s="25">
        <f>IF(COUNTA($A149:$B149,$E149:$G149,$R149)=0,"",IF($S149&lt;&gt;"OK","REVISAR",IF($O149="SEM AÇÃO","BAIXA",IF(OR($P149="ALTO",ABS($N149)&gt;='Configurações'!$B$3),"URGENTE",IF(OR($P149="MÉDIO",'Configurações'!$B$5-$R149&gt;'Configurações'!$B$4),"ALTA","NORMAL")))))</f>
        <v/>
      </c>
      <c r="R149" s="23" t="n"/>
      <c r="S149" s="25">
        <f>IF(COUNTA($A149:$B149,$E149:$G149,$R149)=0,"",IF($A149="","ID AUSENTE",IF(COUNTIF($A$6:$A$305,$A149)&gt;1,"ID DUPLICADO",IF($B149="","SKU AUSENTE",IF(COUNTIF('Estoque Central'!$A$6:$A$205,$B149)=0,"SKU NÃO CADASTRADO",IF(IFERROR(VLOOKUP($B149,'Estoque Central'!$A$6:$M$205,13,FALSE),"")&lt;&gt;"OK","ESTOQUE CENTRAL COM PENDÊNCIA",IF($E149="","CANAL AUSENTE",IF(COUNTIF('Configurações'!$A$11:$A$20,$E149)=0,"CANAL NÃO CONFIGURADO",IF(IFERROR(VLOOKUP($E149,'Configurações'!$A$11:$F$20,6,FALSE),"")&lt;&gt;"OK","CANAL COM PENDÊNCIA",IF(COUNTIFS($B$6:$B$305,$B149,$E$6:$E$305,$E149)&gt;1,"SKU/CANAL DUPLICADO",IF(IFERROR(OR(NOT(ISNUMBER($F149)),$F149&lt;0,MOD($F149,1)&lt;&gt;0),TRUE),"SALDO PUBLICADO INVÁLIDO",IF(IFERROR(OR(NOT(ISNUMBER($G149)),$G149&lt;0,MOD($G149,1)&lt;&gt;0),TRUE),"PEDIDOS PENDENTES INVÁLIDOS",IF(IFERROR(OR(NOT(ISNUMBER($R149)),$R149&gt;'Configurações'!$B$5),TRUE),"DATA INVÁLIDA","OK")))))))))))))</f>
        <v/>
      </c>
    </row>
    <row r="150">
      <c r="A150" s="21" t="n"/>
      <c r="B150" s="21" t="n"/>
      <c r="C150" s="27">
        <f>IFERROR(VLOOKUP($B150,'Estoque Central'!$A$6:$M$205,2,FALSE),"")</f>
        <v/>
      </c>
      <c r="D150" s="25">
        <f>IFERROR(VLOOKUP($B150,'Estoque Central'!$A$6:$M$205,3,FALSE),"")</f>
        <v/>
      </c>
      <c r="E150" s="21" t="n"/>
      <c r="F150" s="22" t="n"/>
      <c r="G150" s="22" t="n"/>
      <c r="H150" s="25">
        <f>IFERROR(VLOOKUP($E150,'Configurações'!$A$11:$F$20,2,FALSE),"")</f>
        <v/>
      </c>
      <c r="I150" s="28">
        <f>IFERROR(VLOOKUP($E150,'Configurações'!$A$11:$F$20,3,FALSE),"")</f>
        <v/>
      </c>
      <c r="J150" s="24">
        <f>IFERROR(VLOOKUP($E150,'Configurações'!$A$11:$F$20,4,FALSE),"")</f>
        <v/>
      </c>
      <c r="K150" s="24">
        <f>IFERROR(VLOOKUP($E150,'Configurações'!$A$11:$F$20,5,FALSE),"")</f>
        <v/>
      </c>
      <c r="L150" s="24">
        <f>IFERROR(VLOOKUP($B150,'Estoque Central'!$A$6:$M$205,9,FALSE),"")</f>
        <v/>
      </c>
      <c r="M150" s="24">
        <f>IF(COUNTA($A150:$B150,$E150:$G150,$R150)=0,"",IFERROR(IF(OR($C150="",$H150=""),"",IF(OR($D150&lt;&gt;"Ativo",$H150&lt;&gt;"Sim"),0,MIN(IF($J150="",$L150,$J150),ROUNDDOWN($L150*$I150,0)))),""))</f>
        <v/>
      </c>
      <c r="N150" s="24">
        <f>IF(OR($M150="",NOT(ISNUMBER($F150))),"",$M150-$F150)</f>
        <v/>
      </c>
      <c r="O150" s="25">
        <f>IF(COUNTA($A150:$B150,$E150:$G150,$R150)=0,"",IF($S150&lt;&gt;"OK","REVISAR CADASTRO",IF($N150&gt;0,"AUMENTAR",IF($N150&lt;0,"REDUZIR","SEM AÇÃO"))))</f>
        <v/>
      </c>
      <c r="P150" s="25">
        <f>IF(COUNTA($A150:$B150,$E150:$G150,$R150)=0,"",IF($S150&lt;&gt;"OK","REVISAR",IF(OR($D150&lt;&gt;"Ativo",$H150&lt;&gt;"Sim"),IF($F150&gt;0,"ALTO","SEM EXPOSIÇÃO"),IF(OR($F150&gt;$M150,SUMIFS($F$6:$F$305,$B$6:$B$305,$B150,$S$6:$S$305,"OK")&gt;$L150),"ALTO",IF(AND($F150&gt;0,$L150&lt;=$K150),"MÉDIO","BAIXO")))))</f>
        <v/>
      </c>
      <c r="Q150" s="25">
        <f>IF(COUNTA($A150:$B150,$E150:$G150,$R150)=0,"",IF($S150&lt;&gt;"OK","REVISAR",IF($O150="SEM AÇÃO","BAIXA",IF(OR($P150="ALTO",ABS($N150)&gt;='Configurações'!$B$3),"URGENTE",IF(OR($P150="MÉDIO",'Configurações'!$B$5-$R150&gt;'Configurações'!$B$4),"ALTA","NORMAL")))))</f>
        <v/>
      </c>
      <c r="R150" s="23" t="n"/>
      <c r="S150" s="25">
        <f>IF(COUNTA($A150:$B150,$E150:$G150,$R150)=0,"",IF($A150="","ID AUSENTE",IF(COUNTIF($A$6:$A$305,$A150)&gt;1,"ID DUPLICADO",IF($B150="","SKU AUSENTE",IF(COUNTIF('Estoque Central'!$A$6:$A$205,$B150)=0,"SKU NÃO CADASTRADO",IF(IFERROR(VLOOKUP($B150,'Estoque Central'!$A$6:$M$205,13,FALSE),"")&lt;&gt;"OK","ESTOQUE CENTRAL COM PENDÊNCIA",IF($E150="","CANAL AUSENTE",IF(COUNTIF('Configurações'!$A$11:$A$20,$E150)=0,"CANAL NÃO CONFIGURADO",IF(IFERROR(VLOOKUP($E150,'Configurações'!$A$11:$F$20,6,FALSE),"")&lt;&gt;"OK","CANAL COM PENDÊNCIA",IF(COUNTIFS($B$6:$B$305,$B150,$E$6:$E$305,$E150)&gt;1,"SKU/CANAL DUPLICADO",IF(IFERROR(OR(NOT(ISNUMBER($F150)),$F150&lt;0,MOD($F150,1)&lt;&gt;0),TRUE),"SALDO PUBLICADO INVÁLIDO",IF(IFERROR(OR(NOT(ISNUMBER($G150)),$G150&lt;0,MOD($G150,1)&lt;&gt;0),TRUE),"PEDIDOS PENDENTES INVÁLIDOS",IF(IFERROR(OR(NOT(ISNUMBER($R150)),$R150&gt;'Configurações'!$B$5),TRUE),"DATA INVÁLIDA","OK")))))))))))))</f>
        <v/>
      </c>
    </row>
    <row r="151">
      <c r="A151" s="21" t="n"/>
      <c r="B151" s="21" t="n"/>
      <c r="C151" s="27">
        <f>IFERROR(VLOOKUP($B151,'Estoque Central'!$A$6:$M$205,2,FALSE),"")</f>
        <v/>
      </c>
      <c r="D151" s="25">
        <f>IFERROR(VLOOKUP($B151,'Estoque Central'!$A$6:$M$205,3,FALSE),"")</f>
        <v/>
      </c>
      <c r="E151" s="21" t="n"/>
      <c r="F151" s="22" t="n"/>
      <c r="G151" s="22" t="n"/>
      <c r="H151" s="25">
        <f>IFERROR(VLOOKUP($E151,'Configurações'!$A$11:$F$20,2,FALSE),"")</f>
        <v/>
      </c>
      <c r="I151" s="28">
        <f>IFERROR(VLOOKUP($E151,'Configurações'!$A$11:$F$20,3,FALSE),"")</f>
        <v/>
      </c>
      <c r="J151" s="24">
        <f>IFERROR(VLOOKUP($E151,'Configurações'!$A$11:$F$20,4,FALSE),"")</f>
        <v/>
      </c>
      <c r="K151" s="24">
        <f>IFERROR(VLOOKUP($E151,'Configurações'!$A$11:$F$20,5,FALSE),"")</f>
        <v/>
      </c>
      <c r="L151" s="24">
        <f>IFERROR(VLOOKUP($B151,'Estoque Central'!$A$6:$M$205,9,FALSE),"")</f>
        <v/>
      </c>
      <c r="M151" s="24">
        <f>IF(COUNTA($A151:$B151,$E151:$G151,$R151)=0,"",IFERROR(IF(OR($C151="",$H151=""),"",IF(OR($D151&lt;&gt;"Ativo",$H151&lt;&gt;"Sim"),0,MIN(IF($J151="",$L151,$J151),ROUNDDOWN($L151*$I151,0)))),""))</f>
        <v/>
      </c>
      <c r="N151" s="24">
        <f>IF(OR($M151="",NOT(ISNUMBER($F151))),"",$M151-$F151)</f>
        <v/>
      </c>
      <c r="O151" s="25">
        <f>IF(COUNTA($A151:$B151,$E151:$G151,$R151)=0,"",IF($S151&lt;&gt;"OK","REVISAR CADASTRO",IF($N151&gt;0,"AUMENTAR",IF($N151&lt;0,"REDUZIR","SEM AÇÃO"))))</f>
        <v/>
      </c>
      <c r="P151" s="25">
        <f>IF(COUNTA($A151:$B151,$E151:$G151,$R151)=0,"",IF($S151&lt;&gt;"OK","REVISAR",IF(OR($D151&lt;&gt;"Ativo",$H151&lt;&gt;"Sim"),IF($F151&gt;0,"ALTO","SEM EXPOSIÇÃO"),IF(OR($F151&gt;$M151,SUMIFS($F$6:$F$305,$B$6:$B$305,$B151,$S$6:$S$305,"OK")&gt;$L151),"ALTO",IF(AND($F151&gt;0,$L151&lt;=$K151),"MÉDIO","BAIXO")))))</f>
        <v/>
      </c>
      <c r="Q151" s="25">
        <f>IF(COUNTA($A151:$B151,$E151:$G151,$R151)=0,"",IF($S151&lt;&gt;"OK","REVISAR",IF($O151="SEM AÇÃO","BAIXA",IF(OR($P151="ALTO",ABS($N151)&gt;='Configurações'!$B$3),"URGENTE",IF(OR($P151="MÉDIO",'Configurações'!$B$5-$R151&gt;'Configurações'!$B$4),"ALTA","NORMAL")))))</f>
        <v/>
      </c>
      <c r="R151" s="23" t="n"/>
      <c r="S151" s="25">
        <f>IF(COUNTA($A151:$B151,$E151:$G151,$R151)=0,"",IF($A151="","ID AUSENTE",IF(COUNTIF($A$6:$A$305,$A151)&gt;1,"ID DUPLICADO",IF($B151="","SKU AUSENTE",IF(COUNTIF('Estoque Central'!$A$6:$A$205,$B151)=0,"SKU NÃO CADASTRADO",IF(IFERROR(VLOOKUP($B151,'Estoque Central'!$A$6:$M$205,13,FALSE),"")&lt;&gt;"OK","ESTOQUE CENTRAL COM PENDÊNCIA",IF($E151="","CANAL AUSENTE",IF(COUNTIF('Configurações'!$A$11:$A$20,$E151)=0,"CANAL NÃO CONFIGURADO",IF(IFERROR(VLOOKUP($E151,'Configurações'!$A$11:$F$20,6,FALSE),"")&lt;&gt;"OK","CANAL COM PENDÊNCIA",IF(COUNTIFS($B$6:$B$305,$B151,$E$6:$E$305,$E151)&gt;1,"SKU/CANAL DUPLICADO",IF(IFERROR(OR(NOT(ISNUMBER($F151)),$F151&lt;0,MOD($F151,1)&lt;&gt;0),TRUE),"SALDO PUBLICADO INVÁLIDO",IF(IFERROR(OR(NOT(ISNUMBER($G151)),$G151&lt;0,MOD($G151,1)&lt;&gt;0),TRUE),"PEDIDOS PENDENTES INVÁLIDOS",IF(IFERROR(OR(NOT(ISNUMBER($R151)),$R151&gt;'Configurações'!$B$5),TRUE),"DATA INVÁLIDA","OK")))))))))))))</f>
        <v/>
      </c>
    </row>
    <row r="152">
      <c r="A152" s="21" t="n"/>
      <c r="B152" s="21" t="n"/>
      <c r="C152" s="27">
        <f>IFERROR(VLOOKUP($B152,'Estoque Central'!$A$6:$M$205,2,FALSE),"")</f>
        <v/>
      </c>
      <c r="D152" s="25">
        <f>IFERROR(VLOOKUP($B152,'Estoque Central'!$A$6:$M$205,3,FALSE),"")</f>
        <v/>
      </c>
      <c r="E152" s="21" t="n"/>
      <c r="F152" s="22" t="n"/>
      <c r="G152" s="22" t="n"/>
      <c r="H152" s="25">
        <f>IFERROR(VLOOKUP($E152,'Configurações'!$A$11:$F$20,2,FALSE),"")</f>
        <v/>
      </c>
      <c r="I152" s="28">
        <f>IFERROR(VLOOKUP($E152,'Configurações'!$A$11:$F$20,3,FALSE),"")</f>
        <v/>
      </c>
      <c r="J152" s="24">
        <f>IFERROR(VLOOKUP($E152,'Configurações'!$A$11:$F$20,4,FALSE),"")</f>
        <v/>
      </c>
      <c r="K152" s="24">
        <f>IFERROR(VLOOKUP($E152,'Configurações'!$A$11:$F$20,5,FALSE),"")</f>
        <v/>
      </c>
      <c r="L152" s="24">
        <f>IFERROR(VLOOKUP($B152,'Estoque Central'!$A$6:$M$205,9,FALSE),"")</f>
        <v/>
      </c>
      <c r="M152" s="24">
        <f>IF(COUNTA($A152:$B152,$E152:$G152,$R152)=0,"",IFERROR(IF(OR($C152="",$H152=""),"",IF(OR($D152&lt;&gt;"Ativo",$H152&lt;&gt;"Sim"),0,MIN(IF($J152="",$L152,$J152),ROUNDDOWN($L152*$I152,0)))),""))</f>
        <v/>
      </c>
      <c r="N152" s="24">
        <f>IF(OR($M152="",NOT(ISNUMBER($F152))),"",$M152-$F152)</f>
        <v/>
      </c>
      <c r="O152" s="25">
        <f>IF(COUNTA($A152:$B152,$E152:$G152,$R152)=0,"",IF($S152&lt;&gt;"OK","REVISAR CADASTRO",IF($N152&gt;0,"AUMENTAR",IF($N152&lt;0,"REDUZIR","SEM AÇÃO"))))</f>
        <v/>
      </c>
      <c r="P152" s="25">
        <f>IF(COUNTA($A152:$B152,$E152:$G152,$R152)=0,"",IF($S152&lt;&gt;"OK","REVISAR",IF(OR($D152&lt;&gt;"Ativo",$H152&lt;&gt;"Sim"),IF($F152&gt;0,"ALTO","SEM EXPOSIÇÃO"),IF(OR($F152&gt;$M152,SUMIFS($F$6:$F$305,$B$6:$B$305,$B152,$S$6:$S$305,"OK")&gt;$L152),"ALTO",IF(AND($F152&gt;0,$L152&lt;=$K152),"MÉDIO","BAIXO")))))</f>
        <v/>
      </c>
      <c r="Q152" s="25">
        <f>IF(COUNTA($A152:$B152,$E152:$G152,$R152)=0,"",IF($S152&lt;&gt;"OK","REVISAR",IF($O152="SEM AÇÃO","BAIXA",IF(OR($P152="ALTO",ABS($N152)&gt;='Configurações'!$B$3),"URGENTE",IF(OR($P152="MÉDIO",'Configurações'!$B$5-$R152&gt;'Configurações'!$B$4),"ALTA","NORMAL")))))</f>
        <v/>
      </c>
      <c r="R152" s="23" t="n"/>
      <c r="S152" s="25">
        <f>IF(COUNTA($A152:$B152,$E152:$G152,$R152)=0,"",IF($A152="","ID AUSENTE",IF(COUNTIF($A$6:$A$305,$A152)&gt;1,"ID DUPLICADO",IF($B152="","SKU AUSENTE",IF(COUNTIF('Estoque Central'!$A$6:$A$205,$B152)=0,"SKU NÃO CADASTRADO",IF(IFERROR(VLOOKUP($B152,'Estoque Central'!$A$6:$M$205,13,FALSE),"")&lt;&gt;"OK","ESTOQUE CENTRAL COM PENDÊNCIA",IF($E152="","CANAL AUSENTE",IF(COUNTIF('Configurações'!$A$11:$A$20,$E152)=0,"CANAL NÃO CONFIGURADO",IF(IFERROR(VLOOKUP($E152,'Configurações'!$A$11:$F$20,6,FALSE),"")&lt;&gt;"OK","CANAL COM PENDÊNCIA",IF(COUNTIFS($B$6:$B$305,$B152,$E$6:$E$305,$E152)&gt;1,"SKU/CANAL DUPLICADO",IF(IFERROR(OR(NOT(ISNUMBER($F152)),$F152&lt;0,MOD($F152,1)&lt;&gt;0),TRUE),"SALDO PUBLICADO INVÁLIDO",IF(IFERROR(OR(NOT(ISNUMBER($G152)),$G152&lt;0,MOD($G152,1)&lt;&gt;0),TRUE),"PEDIDOS PENDENTES INVÁLIDOS",IF(IFERROR(OR(NOT(ISNUMBER($R152)),$R152&gt;'Configurações'!$B$5),TRUE),"DATA INVÁLIDA","OK")))))))))))))</f>
        <v/>
      </c>
    </row>
    <row r="153">
      <c r="A153" s="21" t="n"/>
      <c r="B153" s="21" t="n"/>
      <c r="C153" s="27">
        <f>IFERROR(VLOOKUP($B153,'Estoque Central'!$A$6:$M$205,2,FALSE),"")</f>
        <v/>
      </c>
      <c r="D153" s="25">
        <f>IFERROR(VLOOKUP($B153,'Estoque Central'!$A$6:$M$205,3,FALSE),"")</f>
        <v/>
      </c>
      <c r="E153" s="21" t="n"/>
      <c r="F153" s="22" t="n"/>
      <c r="G153" s="22" t="n"/>
      <c r="H153" s="25">
        <f>IFERROR(VLOOKUP($E153,'Configurações'!$A$11:$F$20,2,FALSE),"")</f>
        <v/>
      </c>
      <c r="I153" s="28">
        <f>IFERROR(VLOOKUP($E153,'Configurações'!$A$11:$F$20,3,FALSE),"")</f>
        <v/>
      </c>
      <c r="J153" s="24">
        <f>IFERROR(VLOOKUP($E153,'Configurações'!$A$11:$F$20,4,FALSE),"")</f>
        <v/>
      </c>
      <c r="K153" s="24">
        <f>IFERROR(VLOOKUP($E153,'Configurações'!$A$11:$F$20,5,FALSE),"")</f>
        <v/>
      </c>
      <c r="L153" s="24">
        <f>IFERROR(VLOOKUP($B153,'Estoque Central'!$A$6:$M$205,9,FALSE),"")</f>
        <v/>
      </c>
      <c r="M153" s="24">
        <f>IF(COUNTA($A153:$B153,$E153:$G153,$R153)=0,"",IFERROR(IF(OR($C153="",$H153=""),"",IF(OR($D153&lt;&gt;"Ativo",$H153&lt;&gt;"Sim"),0,MIN(IF($J153="",$L153,$J153),ROUNDDOWN($L153*$I153,0)))),""))</f>
        <v/>
      </c>
      <c r="N153" s="24">
        <f>IF(OR($M153="",NOT(ISNUMBER($F153))),"",$M153-$F153)</f>
        <v/>
      </c>
      <c r="O153" s="25">
        <f>IF(COUNTA($A153:$B153,$E153:$G153,$R153)=0,"",IF($S153&lt;&gt;"OK","REVISAR CADASTRO",IF($N153&gt;0,"AUMENTAR",IF($N153&lt;0,"REDUZIR","SEM AÇÃO"))))</f>
        <v/>
      </c>
      <c r="P153" s="25">
        <f>IF(COUNTA($A153:$B153,$E153:$G153,$R153)=0,"",IF($S153&lt;&gt;"OK","REVISAR",IF(OR($D153&lt;&gt;"Ativo",$H153&lt;&gt;"Sim"),IF($F153&gt;0,"ALTO","SEM EXPOSIÇÃO"),IF(OR($F153&gt;$M153,SUMIFS($F$6:$F$305,$B$6:$B$305,$B153,$S$6:$S$305,"OK")&gt;$L153),"ALTO",IF(AND($F153&gt;0,$L153&lt;=$K153),"MÉDIO","BAIXO")))))</f>
        <v/>
      </c>
      <c r="Q153" s="25">
        <f>IF(COUNTA($A153:$B153,$E153:$G153,$R153)=0,"",IF($S153&lt;&gt;"OK","REVISAR",IF($O153="SEM AÇÃO","BAIXA",IF(OR($P153="ALTO",ABS($N153)&gt;='Configurações'!$B$3),"URGENTE",IF(OR($P153="MÉDIO",'Configurações'!$B$5-$R153&gt;'Configurações'!$B$4),"ALTA","NORMAL")))))</f>
        <v/>
      </c>
      <c r="R153" s="23" t="n"/>
      <c r="S153" s="25">
        <f>IF(COUNTA($A153:$B153,$E153:$G153,$R153)=0,"",IF($A153="","ID AUSENTE",IF(COUNTIF($A$6:$A$305,$A153)&gt;1,"ID DUPLICADO",IF($B153="","SKU AUSENTE",IF(COUNTIF('Estoque Central'!$A$6:$A$205,$B153)=0,"SKU NÃO CADASTRADO",IF(IFERROR(VLOOKUP($B153,'Estoque Central'!$A$6:$M$205,13,FALSE),"")&lt;&gt;"OK","ESTOQUE CENTRAL COM PENDÊNCIA",IF($E153="","CANAL AUSENTE",IF(COUNTIF('Configurações'!$A$11:$A$20,$E153)=0,"CANAL NÃO CONFIGURADO",IF(IFERROR(VLOOKUP($E153,'Configurações'!$A$11:$F$20,6,FALSE),"")&lt;&gt;"OK","CANAL COM PENDÊNCIA",IF(COUNTIFS($B$6:$B$305,$B153,$E$6:$E$305,$E153)&gt;1,"SKU/CANAL DUPLICADO",IF(IFERROR(OR(NOT(ISNUMBER($F153)),$F153&lt;0,MOD($F153,1)&lt;&gt;0),TRUE),"SALDO PUBLICADO INVÁLIDO",IF(IFERROR(OR(NOT(ISNUMBER($G153)),$G153&lt;0,MOD($G153,1)&lt;&gt;0),TRUE),"PEDIDOS PENDENTES INVÁLIDOS",IF(IFERROR(OR(NOT(ISNUMBER($R153)),$R153&gt;'Configurações'!$B$5),TRUE),"DATA INVÁLIDA","OK")))))))))))))</f>
        <v/>
      </c>
    </row>
    <row r="154">
      <c r="A154" s="21" t="n"/>
      <c r="B154" s="21" t="n"/>
      <c r="C154" s="27">
        <f>IFERROR(VLOOKUP($B154,'Estoque Central'!$A$6:$M$205,2,FALSE),"")</f>
        <v/>
      </c>
      <c r="D154" s="25">
        <f>IFERROR(VLOOKUP($B154,'Estoque Central'!$A$6:$M$205,3,FALSE),"")</f>
        <v/>
      </c>
      <c r="E154" s="21" t="n"/>
      <c r="F154" s="22" t="n"/>
      <c r="G154" s="22" t="n"/>
      <c r="H154" s="25">
        <f>IFERROR(VLOOKUP($E154,'Configurações'!$A$11:$F$20,2,FALSE),"")</f>
        <v/>
      </c>
      <c r="I154" s="28">
        <f>IFERROR(VLOOKUP($E154,'Configurações'!$A$11:$F$20,3,FALSE),"")</f>
        <v/>
      </c>
      <c r="J154" s="24">
        <f>IFERROR(VLOOKUP($E154,'Configurações'!$A$11:$F$20,4,FALSE),"")</f>
        <v/>
      </c>
      <c r="K154" s="24">
        <f>IFERROR(VLOOKUP($E154,'Configurações'!$A$11:$F$20,5,FALSE),"")</f>
        <v/>
      </c>
      <c r="L154" s="24">
        <f>IFERROR(VLOOKUP($B154,'Estoque Central'!$A$6:$M$205,9,FALSE),"")</f>
        <v/>
      </c>
      <c r="M154" s="24">
        <f>IF(COUNTA($A154:$B154,$E154:$G154,$R154)=0,"",IFERROR(IF(OR($C154="",$H154=""),"",IF(OR($D154&lt;&gt;"Ativo",$H154&lt;&gt;"Sim"),0,MIN(IF($J154="",$L154,$J154),ROUNDDOWN($L154*$I154,0)))),""))</f>
        <v/>
      </c>
      <c r="N154" s="24">
        <f>IF(OR($M154="",NOT(ISNUMBER($F154))),"",$M154-$F154)</f>
        <v/>
      </c>
      <c r="O154" s="25">
        <f>IF(COUNTA($A154:$B154,$E154:$G154,$R154)=0,"",IF($S154&lt;&gt;"OK","REVISAR CADASTRO",IF($N154&gt;0,"AUMENTAR",IF($N154&lt;0,"REDUZIR","SEM AÇÃO"))))</f>
        <v/>
      </c>
      <c r="P154" s="25">
        <f>IF(COUNTA($A154:$B154,$E154:$G154,$R154)=0,"",IF($S154&lt;&gt;"OK","REVISAR",IF(OR($D154&lt;&gt;"Ativo",$H154&lt;&gt;"Sim"),IF($F154&gt;0,"ALTO","SEM EXPOSIÇÃO"),IF(OR($F154&gt;$M154,SUMIFS($F$6:$F$305,$B$6:$B$305,$B154,$S$6:$S$305,"OK")&gt;$L154),"ALTO",IF(AND($F154&gt;0,$L154&lt;=$K154),"MÉDIO","BAIXO")))))</f>
        <v/>
      </c>
      <c r="Q154" s="25">
        <f>IF(COUNTA($A154:$B154,$E154:$G154,$R154)=0,"",IF($S154&lt;&gt;"OK","REVISAR",IF($O154="SEM AÇÃO","BAIXA",IF(OR($P154="ALTO",ABS($N154)&gt;='Configurações'!$B$3),"URGENTE",IF(OR($P154="MÉDIO",'Configurações'!$B$5-$R154&gt;'Configurações'!$B$4),"ALTA","NORMAL")))))</f>
        <v/>
      </c>
      <c r="R154" s="23" t="n"/>
      <c r="S154" s="25">
        <f>IF(COUNTA($A154:$B154,$E154:$G154,$R154)=0,"",IF($A154="","ID AUSENTE",IF(COUNTIF($A$6:$A$305,$A154)&gt;1,"ID DUPLICADO",IF($B154="","SKU AUSENTE",IF(COUNTIF('Estoque Central'!$A$6:$A$205,$B154)=0,"SKU NÃO CADASTRADO",IF(IFERROR(VLOOKUP($B154,'Estoque Central'!$A$6:$M$205,13,FALSE),"")&lt;&gt;"OK","ESTOQUE CENTRAL COM PENDÊNCIA",IF($E154="","CANAL AUSENTE",IF(COUNTIF('Configurações'!$A$11:$A$20,$E154)=0,"CANAL NÃO CONFIGURADO",IF(IFERROR(VLOOKUP($E154,'Configurações'!$A$11:$F$20,6,FALSE),"")&lt;&gt;"OK","CANAL COM PENDÊNCIA",IF(COUNTIFS($B$6:$B$305,$B154,$E$6:$E$305,$E154)&gt;1,"SKU/CANAL DUPLICADO",IF(IFERROR(OR(NOT(ISNUMBER($F154)),$F154&lt;0,MOD($F154,1)&lt;&gt;0),TRUE),"SALDO PUBLICADO INVÁLIDO",IF(IFERROR(OR(NOT(ISNUMBER($G154)),$G154&lt;0,MOD($G154,1)&lt;&gt;0),TRUE),"PEDIDOS PENDENTES INVÁLIDOS",IF(IFERROR(OR(NOT(ISNUMBER($R154)),$R154&gt;'Configurações'!$B$5),TRUE),"DATA INVÁLIDA","OK")))))))))))))</f>
        <v/>
      </c>
    </row>
    <row r="155">
      <c r="A155" s="21" t="n"/>
      <c r="B155" s="21" t="n"/>
      <c r="C155" s="27">
        <f>IFERROR(VLOOKUP($B155,'Estoque Central'!$A$6:$M$205,2,FALSE),"")</f>
        <v/>
      </c>
      <c r="D155" s="25">
        <f>IFERROR(VLOOKUP($B155,'Estoque Central'!$A$6:$M$205,3,FALSE),"")</f>
        <v/>
      </c>
      <c r="E155" s="21" t="n"/>
      <c r="F155" s="22" t="n"/>
      <c r="G155" s="22" t="n"/>
      <c r="H155" s="25">
        <f>IFERROR(VLOOKUP($E155,'Configurações'!$A$11:$F$20,2,FALSE),"")</f>
        <v/>
      </c>
      <c r="I155" s="28">
        <f>IFERROR(VLOOKUP($E155,'Configurações'!$A$11:$F$20,3,FALSE),"")</f>
        <v/>
      </c>
      <c r="J155" s="24">
        <f>IFERROR(VLOOKUP($E155,'Configurações'!$A$11:$F$20,4,FALSE),"")</f>
        <v/>
      </c>
      <c r="K155" s="24">
        <f>IFERROR(VLOOKUP($E155,'Configurações'!$A$11:$F$20,5,FALSE),"")</f>
        <v/>
      </c>
      <c r="L155" s="24">
        <f>IFERROR(VLOOKUP($B155,'Estoque Central'!$A$6:$M$205,9,FALSE),"")</f>
        <v/>
      </c>
      <c r="M155" s="24">
        <f>IF(COUNTA($A155:$B155,$E155:$G155,$R155)=0,"",IFERROR(IF(OR($C155="",$H155=""),"",IF(OR($D155&lt;&gt;"Ativo",$H155&lt;&gt;"Sim"),0,MIN(IF($J155="",$L155,$J155),ROUNDDOWN($L155*$I155,0)))),""))</f>
        <v/>
      </c>
      <c r="N155" s="24">
        <f>IF(OR($M155="",NOT(ISNUMBER($F155))),"",$M155-$F155)</f>
        <v/>
      </c>
      <c r="O155" s="25">
        <f>IF(COUNTA($A155:$B155,$E155:$G155,$R155)=0,"",IF($S155&lt;&gt;"OK","REVISAR CADASTRO",IF($N155&gt;0,"AUMENTAR",IF($N155&lt;0,"REDUZIR","SEM AÇÃO"))))</f>
        <v/>
      </c>
      <c r="P155" s="25">
        <f>IF(COUNTA($A155:$B155,$E155:$G155,$R155)=0,"",IF($S155&lt;&gt;"OK","REVISAR",IF(OR($D155&lt;&gt;"Ativo",$H155&lt;&gt;"Sim"),IF($F155&gt;0,"ALTO","SEM EXPOSIÇÃO"),IF(OR($F155&gt;$M155,SUMIFS($F$6:$F$305,$B$6:$B$305,$B155,$S$6:$S$305,"OK")&gt;$L155),"ALTO",IF(AND($F155&gt;0,$L155&lt;=$K155),"MÉDIO","BAIXO")))))</f>
        <v/>
      </c>
      <c r="Q155" s="25">
        <f>IF(COUNTA($A155:$B155,$E155:$G155,$R155)=0,"",IF($S155&lt;&gt;"OK","REVISAR",IF($O155="SEM AÇÃO","BAIXA",IF(OR($P155="ALTO",ABS($N155)&gt;='Configurações'!$B$3),"URGENTE",IF(OR($P155="MÉDIO",'Configurações'!$B$5-$R155&gt;'Configurações'!$B$4),"ALTA","NORMAL")))))</f>
        <v/>
      </c>
      <c r="R155" s="23" t="n"/>
      <c r="S155" s="25">
        <f>IF(COUNTA($A155:$B155,$E155:$G155,$R155)=0,"",IF($A155="","ID AUSENTE",IF(COUNTIF($A$6:$A$305,$A155)&gt;1,"ID DUPLICADO",IF($B155="","SKU AUSENTE",IF(COUNTIF('Estoque Central'!$A$6:$A$205,$B155)=0,"SKU NÃO CADASTRADO",IF(IFERROR(VLOOKUP($B155,'Estoque Central'!$A$6:$M$205,13,FALSE),"")&lt;&gt;"OK","ESTOQUE CENTRAL COM PENDÊNCIA",IF($E155="","CANAL AUSENTE",IF(COUNTIF('Configurações'!$A$11:$A$20,$E155)=0,"CANAL NÃO CONFIGURADO",IF(IFERROR(VLOOKUP($E155,'Configurações'!$A$11:$F$20,6,FALSE),"")&lt;&gt;"OK","CANAL COM PENDÊNCIA",IF(COUNTIFS($B$6:$B$305,$B155,$E$6:$E$305,$E155)&gt;1,"SKU/CANAL DUPLICADO",IF(IFERROR(OR(NOT(ISNUMBER($F155)),$F155&lt;0,MOD($F155,1)&lt;&gt;0),TRUE),"SALDO PUBLICADO INVÁLIDO",IF(IFERROR(OR(NOT(ISNUMBER($G155)),$G155&lt;0,MOD($G155,1)&lt;&gt;0),TRUE),"PEDIDOS PENDENTES INVÁLIDOS",IF(IFERROR(OR(NOT(ISNUMBER($R155)),$R155&gt;'Configurações'!$B$5),TRUE),"DATA INVÁLIDA","OK")))))))))))))</f>
        <v/>
      </c>
    </row>
    <row r="156">
      <c r="A156" s="21" t="n"/>
      <c r="B156" s="21" t="n"/>
      <c r="C156" s="27">
        <f>IFERROR(VLOOKUP($B156,'Estoque Central'!$A$6:$M$205,2,FALSE),"")</f>
        <v/>
      </c>
      <c r="D156" s="25">
        <f>IFERROR(VLOOKUP($B156,'Estoque Central'!$A$6:$M$205,3,FALSE),"")</f>
        <v/>
      </c>
      <c r="E156" s="21" t="n"/>
      <c r="F156" s="22" t="n"/>
      <c r="G156" s="22" t="n"/>
      <c r="H156" s="25">
        <f>IFERROR(VLOOKUP($E156,'Configurações'!$A$11:$F$20,2,FALSE),"")</f>
        <v/>
      </c>
      <c r="I156" s="28">
        <f>IFERROR(VLOOKUP($E156,'Configurações'!$A$11:$F$20,3,FALSE),"")</f>
        <v/>
      </c>
      <c r="J156" s="24">
        <f>IFERROR(VLOOKUP($E156,'Configurações'!$A$11:$F$20,4,FALSE),"")</f>
        <v/>
      </c>
      <c r="K156" s="24">
        <f>IFERROR(VLOOKUP($E156,'Configurações'!$A$11:$F$20,5,FALSE),"")</f>
        <v/>
      </c>
      <c r="L156" s="24">
        <f>IFERROR(VLOOKUP($B156,'Estoque Central'!$A$6:$M$205,9,FALSE),"")</f>
        <v/>
      </c>
      <c r="M156" s="24">
        <f>IF(COUNTA($A156:$B156,$E156:$G156,$R156)=0,"",IFERROR(IF(OR($C156="",$H156=""),"",IF(OR($D156&lt;&gt;"Ativo",$H156&lt;&gt;"Sim"),0,MIN(IF($J156="",$L156,$J156),ROUNDDOWN($L156*$I156,0)))),""))</f>
        <v/>
      </c>
      <c r="N156" s="24">
        <f>IF(OR($M156="",NOT(ISNUMBER($F156))),"",$M156-$F156)</f>
        <v/>
      </c>
      <c r="O156" s="25">
        <f>IF(COUNTA($A156:$B156,$E156:$G156,$R156)=0,"",IF($S156&lt;&gt;"OK","REVISAR CADASTRO",IF($N156&gt;0,"AUMENTAR",IF($N156&lt;0,"REDUZIR","SEM AÇÃO"))))</f>
        <v/>
      </c>
      <c r="P156" s="25">
        <f>IF(COUNTA($A156:$B156,$E156:$G156,$R156)=0,"",IF($S156&lt;&gt;"OK","REVISAR",IF(OR($D156&lt;&gt;"Ativo",$H156&lt;&gt;"Sim"),IF($F156&gt;0,"ALTO","SEM EXPOSIÇÃO"),IF(OR($F156&gt;$M156,SUMIFS($F$6:$F$305,$B$6:$B$305,$B156,$S$6:$S$305,"OK")&gt;$L156),"ALTO",IF(AND($F156&gt;0,$L156&lt;=$K156),"MÉDIO","BAIXO")))))</f>
        <v/>
      </c>
      <c r="Q156" s="25">
        <f>IF(COUNTA($A156:$B156,$E156:$G156,$R156)=0,"",IF($S156&lt;&gt;"OK","REVISAR",IF($O156="SEM AÇÃO","BAIXA",IF(OR($P156="ALTO",ABS($N156)&gt;='Configurações'!$B$3),"URGENTE",IF(OR($P156="MÉDIO",'Configurações'!$B$5-$R156&gt;'Configurações'!$B$4),"ALTA","NORMAL")))))</f>
        <v/>
      </c>
      <c r="R156" s="23" t="n"/>
      <c r="S156" s="25">
        <f>IF(COUNTA($A156:$B156,$E156:$G156,$R156)=0,"",IF($A156="","ID AUSENTE",IF(COUNTIF($A$6:$A$305,$A156)&gt;1,"ID DUPLICADO",IF($B156="","SKU AUSENTE",IF(COUNTIF('Estoque Central'!$A$6:$A$205,$B156)=0,"SKU NÃO CADASTRADO",IF(IFERROR(VLOOKUP($B156,'Estoque Central'!$A$6:$M$205,13,FALSE),"")&lt;&gt;"OK","ESTOQUE CENTRAL COM PENDÊNCIA",IF($E156="","CANAL AUSENTE",IF(COUNTIF('Configurações'!$A$11:$A$20,$E156)=0,"CANAL NÃO CONFIGURADO",IF(IFERROR(VLOOKUP($E156,'Configurações'!$A$11:$F$20,6,FALSE),"")&lt;&gt;"OK","CANAL COM PENDÊNCIA",IF(COUNTIFS($B$6:$B$305,$B156,$E$6:$E$305,$E156)&gt;1,"SKU/CANAL DUPLICADO",IF(IFERROR(OR(NOT(ISNUMBER($F156)),$F156&lt;0,MOD($F156,1)&lt;&gt;0),TRUE),"SALDO PUBLICADO INVÁLIDO",IF(IFERROR(OR(NOT(ISNUMBER($G156)),$G156&lt;0,MOD($G156,1)&lt;&gt;0),TRUE),"PEDIDOS PENDENTES INVÁLIDOS",IF(IFERROR(OR(NOT(ISNUMBER($R156)),$R156&gt;'Configurações'!$B$5),TRUE),"DATA INVÁLIDA","OK")))))))))))))</f>
        <v/>
      </c>
    </row>
    <row r="157">
      <c r="A157" s="21" t="n"/>
      <c r="B157" s="21" t="n"/>
      <c r="C157" s="27">
        <f>IFERROR(VLOOKUP($B157,'Estoque Central'!$A$6:$M$205,2,FALSE),"")</f>
        <v/>
      </c>
      <c r="D157" s="25">
        <f>IFERROR(VLOOKUP($B157,'Estoque Central'!$A$6:$M$205,3,FALSE),"")</f>
        <v/>
      </c>
      <c r="E157" s="21" t="n"/>
      <c r="F157" s="22" t="n"/>
      <c r="G157" s="22" t="n"/>
      <c r="H157" s="25">
        <f>IFERROR(VLOOKUP($E157,'Configurações'!$A$11:$F$20,2,FALSE),"")</f>
        <v/>
      </c>
      <c r="I157" s="28">
        <f>IFERROR(VLOOKUP($E157,'Configurações'!$A$11:$F$20,3,FALSE),"")</f>
        <v/>
      </c>
      <c r="J157" s="24">
        <f>IFERROR(VLOOKUP($E157,'Configurações'!$A$11:$F$20,4,FALSE),"")</f>
        <v/>
      </c>
      <c r="K157" s="24">
        <f>IFERROR(VLOOKUP($E157,'Configurações'!$A$11:$F$20,5,FALSE),"")</f>
        <v/>
      </c>
      <c r="L157" s="24">
        <f>IFERROR(VLOOKUP($B157,'Estoque Central'!$A$6:$M$205,9,FALSE),"")</f>
        <v/>
      </c>
      <c r="M157" s="24">
        <f>IF(COUNTA($A157:$B157,$E157:$G157,$R157)=0,"",IFERROR(IF(OR($C157="",$H157=""),"",IF(OR($D157&lt;&gt;"Ativo",$H157&lt;&gt;"Sim"),0,MIN(IF($J157="",$L157,$J157),ROUNDDOWN($L157*$I157,0)))),""))</f>
        <v/>
      </c>
      <c r="N157" s="24">
        <f>IF(OR($M157="",NOT(ISNUMBER($F157))),"",$M157-$F157)</f>
        <v/>
      </c>
      <c r="O157" s="25">
        <f>IF(COUNTA($A157:$B157,$E157:$G157,$R157)=0,"",IF($S157&lt;&gt;"OK","REVISAR CADASTRO",IF($N157&gt;0,"AUMENTAR",IF($N157&lt;0,"REDUZIR","SEM AÇÃO"))))</f>
        <v/>
      </c>
      <c r="P157" s="25">
        <f>IF(COUNTA($A157:$B157,$E157:$G157,$R157)=0,"",IF($S157&lt;&gt;"OK","REVISAR",IF(OR($D157&lt;&gt;"Ativo",$H157&lt;&gt;"Sim"),IF($F157&gt;0,"ALTO","SEM EXPOSIÇÃO"),IF(OR($F157&gt;$M157,SUMIFS($F$6:$F$305,$B$6:$B$305,$B157,$S$6:$S$305,"OK")&gt;$L157),"ALTO",IF(AND($F157&gt;0,$L157&lt;=$K157),"MÉDIO","BAIXO")))))</f>
        <v/>
      </c>
      <c r="Q157" s="25">
        <f>IF(COUNTA($A157:$B157,$E157:$G157,$R157)=0,"",IF($S157&lt;&gt;"OK","REVISAR",IF($O157="SEM AÇÃO","BAIXA",IF(OR($P157="ALTO",ABS($N157)&gt;='Configurações'!$B$3),"URGENTE",IF(OR($P157="MÉDIO",'Configurações'!$B$5-$R157&gt;'Configurações'!$B$4),"ALTA","NORMAL")))))</f>
        <v/>
      </c>
      <c r="R157" s="23" t="n"/>
      <c r="S157" s="25">
        <f>IF(COUNTA($A157:$B157,$E157:$G157,$R157)=0,"",IF($A157="","ID AUSENTE",IF(COUNTIF($A$6:$A$305,$A157)&gt;1,"ID DUPLICADO",IF($B157="","SKU AUSENTE",IF(COUNTIF('Estoque Central'!$A$6:$A$205,$B157)=0,"SKU NÃO CADASTRADO",IF(IFERROR(VLOOKUP($B157,'Estoque Central'!$A$6:$M$205,13,FALSE),"")&lt;&gt;"OK","ESTOQUE CENTRAL COM PENDÊNCIA",IF($E157="","CANAL AUSENTE",IF(COUNTIF('Configurações'!$A$11:$A$20,$E157)=0,"CANAL NÃO CONFIGURADO",IF(IFERROR(VLOOKUP($E157,'Configurações'!$A$11:$F$20,6,FALSE),"")&lt;&gt;"OK","CANAL COM PENDÊNCIA",IF(COUNTIFS($B$6:$B$305,$B157,$E$6:$E$305,$E157)&gt;1,"SKU/CANAL DUPLICADO",IF(IFERROR(OR(NOT(ISNUMBER($F157)),$F157&lt;0,MOD($F157,1)&lt;&gt;0),TRUE),"SALDO PUBLICADO INVÁLIDO",IF(IFERROR(OR(NOT(ISNUMBER($G157)),$G157&lt;0,MOD($G157,1)&lt;&gt;0),TRUE),"PEDIDOS PENDENTES INVÁLIDOS",IF(IFERROR(OR(NOT(ISNUMBER($R157)),$R157&gt;'Configurações'!$B$5),TRUE),"DATA INVÁLIDA","OK")))))))))))))</f>
        <v/>
      </c>
    </row>
    <row r="158">
      <c r="A158" s="21" t="n"/>
      <c r="B158" s="21" t="n"/>
      <c r="C158" s="27">
        <f>IFERROR(VLOOKUP($B158,'Estoque Central'!$A$6:$M$205,2,FALSE),"")</f>
        <v/>
      </c>
      <c r="D158" s="25">
        <f>IFERROR(VLOOKUP($B158,'Estoque Central'!$A$6:$M$205,3,FALSE),"")</f>
        <v/>
      </c>
      <c r="E158" s="21" t="n"/>
      <c r="F158" s="22" t="n"/>
      <c r="G158" s="22" t="n"/>
      <c r="H158" s="25">
        <f>IFERROR(VLOOKUP($E158,'Configurações'!$A$11:$F$20,2,FALSE),"")</f>
        <v/>
      </c>
      <c r="I158" s="28">
        <f>IFERROR(VLOOKUP($E158,'Configurações'!$A$11:$F$20,3,FALSE),"")</f>
        <v/>
      </c>
      <c r="J158" s="24">
        <f>IFERROR(VLOOKUP($E158,'Configurações'!$A$11:$F$20,4,FALSE),"")</f>
        <v/>
      </c>
      <c r="K158" s="24">
        <f>IFERROR(VLOOKUP($E158,'Configurações'!$A$11:$F$20,5,FALSE),"")</f>
        <v/>
      </c>
      <c r="L158" s="24">
        <f>IFERROR(VLOOKUP($B158,'Estoque Central'!$A$6:$M$205,9,FALSE),"")</f>
        <v/>
      </c>
      <c r="M158" s="24">
        <f>IF(COUNTA($A158:$B158,$E158:$G158,$R158)=0,"",IFERROR(IF(OR($C158="",$H158=""),"",IF(OR($D158&lt;&gt;"Ativo",$H158&lt;&gt;"Sim"),0,MIN(IF($J158="",$L158,$J158),ROUNDDOWN($L158*$I158,0)))),""))</f>
        <v/>
      </c>
      <c r="N158" s="24">
        <f>IF(OR($M158="",NOT(ISNUMBER($F158))),"",$M158-$F158)</f>
        <v/>
      </c>
      <c r="O158" s="25">
        <f>IF(COUNTA($A158:$B158,$E158:$G158,$R158)=0,"",IF($S158&lt;&gt;"OK","REVISAR CADASTRO",IF($N158&gt;0,"AUMENTAR",IF($N158&lt;0,"REDUZIR","SEM AÇÃO"))))</f>
        <v/>
      </c>
      <c r="P158" s="25">
        <f>IF(COUNTA($A158:$B158,$E158:$G158,$R158)=0,"",IF($S158&lt;&gt;"OK","REVISAR",IF(OR($D158&lt;&gt;"Ativo",$H158&lt;&gt;"Sim"),IF($F158&gt;0,"ALTO","SEM EXPOSIÇÃO"),IF(OR($F158&gt;$M158,SUMIFS($F$6:$F$305,$B$6:$B$305,$B158,$S$6:$S$305,"OK")&gt;$L158),"ALTO",IF(AND($F158&gt;0,$L158&lt;=$K158),"MÉDIO","BAIXO")))))</f>
        <v/>
      </c>
      <c r="Q158" s="25">
        <f>IF(COUNTA($A158:$B158,$E158:$G158,$R158)=0,"",IF($S158&lt;&gt;"OK","REVISAR",IF($O158="SEM AÇÃO","BAIXA",IF(OR($P158="ALTO",ABS($N158)&gt;='Configurações'!$B$3),"URGENTE",IF(OR($P158="MÉDIO",'Configurações'!$B$5-$R158&gt;'Configurações'!$B$4),"ALTA","NORMAL")))))</f>
        <v/>
      </c>
      <c r="R158" s="23" t="n"/>
      <c r="S158" s="25">
        <f>IF(COUNTA($A158:$B158,$E158:$G158,$R158)=0,"",IF($A158="","ID AUSENTE",IF(COUNTIF($A$6:$A$305,$A158)&gt;1,"ID DUPLICADO",IF($B158="","SKU AUSENTE",IF(COUNTIF('Estoque Central'!$A$6:$A$205,$B158)=0,"SKU NÃO CADASTRADO",IF(IFERROR(VLOOKUP($B158,'Estoque Central'!$A$6:$M$205,13,FALSE),"")&lt;&gt;"OK","ESTOQUE CENTRAL COM PENDÊNCIA",IF($E158="","CANAL AUSENTE",IF(COUNTIF('Configurações'!$A$11:$A$20,$E158)=0,"CANAL NÃO CONFIGURADO",IF(IFERROR(VLOOKUP($E158,'Configurações'!$A$11:$F$20,6,FALSE),"")&lt;&gt;"OK","CANAL COM PENDÊNCIA",IF(COUNTIFS($B$6:$B$305,$B158,$E$6:$E$305,$E158)&gt;1,"SKU/CANAL DUPLICADO",IF(IFERROR(OR(NOT(ISNUMBER($F158)),$F158&lt;0,MOD($F158,1)&lt;&gt;0),TRUE),"SALDO PUBLICADO INVÁLIDO",IF(IFERROR(OR(NOT(ISNUMBER($G158)),$G158&lt;0,MOD($G158,1)&lt;&gt;0),TRUE),"PEDIDOS PENDENTES INVÁLIDOS",IF(IFERROR(OR(NOT(ISNUMBER($R158)),$R158&gt;'Configurações'!$B$5),TRUE),"DATA INVÁLIDA","OK")))))))))))))</f>
        <v/>
      </c>
    </row>
    <row r="159">
      <c r="A159" s="21" t="n"/>
      <c r="B159" s="21" t="n"/>
      <c r="C159" s="27">
        <f>IFERROR(VLOOKUP($B159,'Estoque Central'!$A$6:$M$205,2,FALSE),"")</f>
        <v/>
      </c>
      <c r="D159" s="25">
        <f>IFERROR(VLOOKUP($B159,'Estoque Central'!$A$6:$M$205,3,FALSE),"")</f>
        <v/>
      </c>
      <c r="E159" s="21" t="n"/>
      <c r="F159" s="22" t="n"/>
      <c r="G159" s="22" t="n"/>
      <c r="H159" s="25">
        <f>IFERROR(VLOOKUP($E159,'Configurações'!$A$11:$F$20,2,FALSE),"")</f>
        <v/>
      </c>
      <c r="I159" s="28">
        <f>IFERROR(VLOOKUP($E159,'Configurações'!$A$11:$F$20,3,FALSE),"")</f>
        <v/>
      </c>
      <c r="J159" s="24">
        <f>IFERROR(VLOOKUP($E159,'Configurações'!$A$11:$F$20,4,FALSE),"")</f>
        <v/>
      </c>
      <c r="K159" s="24">
        <f>IFERROR(VLOOKUP($E159,'Configurações'!$A$11:$F$20,5,FALSE),"")</f>
        <v/>
      </c>
      <c r="L159" s="24">
        <f>IFERROR(VLOOKUP($B159,'Estoque Central'!$A$6:$M$205,9,FALSE),"")</f>
        <v/>
      </c>
      <c r="M159" s="24">
        <f>IF(COUNTA($A159:$B159,$E159:$G159,$R159)=0,"",IFERROR(IF(OR($C159="",$H159=""),"",IF(OR($D159&lt;&gt;"Ativo",$H159&lt;&gt;"Sim"),0,MIN(IF($J159="",$L159,$J159),ROUNDDOWN($L159*$I159,0)))),""))</f>
        <v/>
      </c>
      <c r="N159" s="24">
        <f>IF(OR($M159="",NOT(ISNUMBER($F159))),"",$M159-$F159)</f>
        <v/>
      </c>
      <c r="O159" s="25">
        <f>IF(COUNTA($A159:$B159,$E159:$G159,$R159)=0,"",IF($S159&lt;&gt;"OK","REVISAR CADASTRO",IF($N159&gt;0,"AUMENTAR",IF($N159&lt;0,"REDUZIR","SEM AÇÃO"))))</f>
        <v/>
      </c>
      <c r="P159" s="25">
        <f>IF(COUNTA($A159:$B159,$E159:$G159,$R159)=0,"",IF($S159&lt;&gt;"OK","REVISAR",IF(OR($D159&lt;&gt;"Ativo",$H159&lt;&gt;"Sim"),IF($F159&gt;0,"ALTO","SEM EXPOSIÇÃO"),IF(OR($F159&gt;$M159,SUMIFS($F$6:$F$305,$B$6:$B$305,$B159,$S$6:$S$305,"OK")&gt;$L159),"ALTO",IF(AND($F159&gt;0,$L159&lt;=$K159),"MÉDIO","BAIXO")))))</f>
        <v/>
      </c>
      <c r="Q159" s="25">
        <f>IF(COUNTA($A159:$B159,$E159:$G159,$R159)=0,"",IF($S159&lt;&gt;"OK","REVISAR",IF($O159="SEM AÇÃO","BAIXA",IF(OR($P159="ALTO",ABS($N159)&gt;='Configurações'!$B$3),"URGENTE",IF(OR($P159="MÉDIO",'Configurações'!$B$5-$R159&gt;'Configurações'!$B$4),"ALTA","NORMAL")))))</f>
        <v/>
      </c>
      <c r="R159" s="23" t="n"/>
      <c r="S159" s="25">
        <f>IF(COUNTA($A159:$B159,$E159:$G159,$R159)=0,"",IF($A159="","ID AUSENTE",IF(COUNTIF($A$6:$A$305,$A159)&gt;1,"ID DUPLICADO",IF($B159="","SKU AUSENTE",IF(COUNTIF('Estoque Central'!$A$6:$A$205,$B159)=0,"SKU NÃO CADASTRADO",IF(IFERROR(VLOOKUP($B159,'Estoque Central'!$A$6:$M$205,13,FALSE),"")&lt;&gt;"OK","ESTOQUE CENTRAL COM PENDÊNCIA",IF($E159="","CANAL AUSENTE",IF(COUNTIF('Configurações'!$A$11:$A$20,$E159)=0,"CANAL NÃO CONFIGURADO",IF(IFERROR(VLOOKUP($E159,'Configurações'!$A$11:$F$20,6,FALSE),"")&lt;&gt;"OK","CANAL COM PENDÊNCIA",IF(COUNTIFS($B$6:$B$305,$B159,$E$6:$E$305,$E159)&gt;1,"SKU/CANAL DUPLICADO",IF(IFERROR(OR(NOT(ISNUMBER($F159)),$F159&lt;0,MOD($F159,1)&lt;&gt;0),TRUE),"SALDO PUBLICADO INVÁLIDO",IF(IFERROR(OR(NOT(ISNUMBER($G159)),$G159&lt;0,MOD($G159,1)&lt;&gt;0),TRUE),"PEDIDOS PENDENTES INVÁLIDOS",IF(IFERROR(OR(NOT(ISNUMBER($R159)),$R159&gt;'Configurações'!$B$5),TRUE),"DATA INVÁLIDA","OK")))))))))))))</f>
        <v/>
      </c>
    </row>
    <row r="160">
      <c r="A160" s="21" t="n"/>
      <c r="B160" s="21" t="n"/>
      <c r="C160" s="27">
        <f>IFERROR(VLOOKUP($B160,'Estoque Central'!$A$6:$M$205,2,FALSE),"")</f>
        <v/>
      </c>
      <c r="D160" s="25">
        <f>IFERROR(VLOOKUP($B160,'Estoque Central'!$A$6:$M$205,3,FALSE),"")</f>
        <v/>
      </c>
      <c r="E160" s="21" t="n"/>
      <c r="F160" s="22" t="n"/>
      <c r="G160" s="22" t="n"/>
      <c r="H160" s="25">
        <f>IFERROR(VLOOKUP($E160,'Configurações'!$A$11:$F$20,2,FALSE),"")</f>
        <v/>
      </c>
      <c r="I160" s="28">
        <f>IFERROR(VLOOKUP($E160,'Configurações'!$A$11:$F$20,3,FALSE),"")</f>
        <v/>
      </c>
      <c r="J160" s="24">
        <f>IFERROR(VLOOKUP($E160,'Configurações'!$A$11:$F$20,4,FALSE),"")</f>
        <v/>
      </c>
      <c r="K160" s="24">
        <f>IFERROR(VLOOKUP($E160,'Configurações'!$A$11:$F$20,5,FALSE),"")</f>
        <v/>
      </c>
      <c r="L160" s="24">
        <f>IFERROR(VLOOKUP($B160,'Estoque Central'!$A$6:$M$205,9,FALSE),"")</f>
        <v/>
      </c>
      <c r="M160" s="24">
        <f>IF(COUNTA($A160:$B160,$E160:$G160,$R160)=0,"",IFERROR(IF(OR($C160="",$H160=""),"",IF(OR($D160&lt;&gt;"Ativo",$H160&lt;&gt;"Sim"),0,MIN(IF($J160="",$L160,$J160),ROUNDDOWN($L160*$I160,0)))),""))</f>
        <v/>
      </c>
      <c r="N160" s="24">
        <f>IF(OR($M160="",NOT(ISNUMBER($F160))),"",$M160-$F160)</f>
        <v/>
      </c>
      <c r="O160" s="25">
        <f>IF(COUNTA($A160:$B160,$E160:$G160,$R160)=0,"",IF($S160&lt;&gt;"OK","REVISAR CADASTRO",IF($N160&gt;0,"AUMENTAR",IF($N160&lt;0,"REDUZIR","SEM AÇÃO"))))</f>
        <v/>
      </c>
      <c r="P160" s="25">
        <f>IF(COUNTA($A160:$B160,$E160:$G160,$R160)=0,"",IF($S160&lt;&gt;"OK","REVISAR",IF(OR($D160&lt;&gt;"Ativo",$H160&lt;&gt;"Sim"),IF($F160&gt;0,"ALTO","SEM EXPOSIÇÃO"),IF(OR($F160&gt;$M160,SUMIFS($F$6:$F$305,$B$6:$B$305,$B160,$S$6:$S$305,"OK")&gt;$L160),"ALTO",IF(AND($F160&gt;0,$L160&lt;=$K160),"MÉDIO","BAIXO")))))</f>
        <v/>
      </c>
      <c r="Q160" s="25">
        <f>IF(COUNTA($A160:$B160,$E160:$G160,$R160)=0,"",IF($S160&lt;&gt;"OK","REVISAR",IF($O160="SEM AÇÃO","BAIXA",IF(OR($P160="ALTO",ABS($N160)&gt;='Configurações'!$B$3),"URGENTE",IF(OR($P160="MÉDIO",'Configurações'!$B$5-$R160&gt;'Configurações'!$B$4),"ALTA","NORMAL")))))</f>
        <v/>
      </c>
      <c r="R160" s="23" t="n"/>
      <c r="S160" s="25">
        <f>IF(COUNTA($A160:$B160,$E160:$G160,$R160)=0,"",IF($A160="","ID AUSENTE",IF(COUNTIF($A$6:$A$305,$A160)&gt;1,"ID DUPLICADO",IF($B160="","SKU AUSENTE",IF(COUNTIF('Estoque Central'!$A$6:$A$205,$B160)=0,"SKU NÃO CADASTRADO",IF(IFERROR(VLOOKUP($B160,'Estoque Central'!$A$6:$M$205,13,FALSE),"")&lt;&gt;"OK","ESTOQUE CENTRAL COM PENDÊNCIA",IF($E160="","CANAL AUSENTE",IF(COUNTIF('Configurações'!$A$11:$A$20,$E160)=0,"CANAL NÃO CONFIGURADO",IF(IFERROR(VLOOKUP($E160,'Configurações'!$A$11:$F$20,6,FALSE),"")&lt;&gt;"OK","CANAL COM PENDÊNCIA",IF(COUNTIFS($B$6:$B$305,$B160,$E$6:$E$305,$E160)&gt;1,"SKU/CANAL DUPLICADO",IF(IFERROR(OR(NOT(ISNUMBER($F160)),$F160&lt;0,MOD($F160,1)&lt;&gt;0),TRUE),"SALDO PUBLICADO INVÁLIDO",IF(IFERROR(OR(NOT(ISNUMBER($G160)),$G160&lt;0,MOD($G160,1)&lt;&gt;0),TRUE),"PEDIDOS PENDENTES INVÁLIDOS",IF(IFERROR(OR(NOT(ISNUMBER($R160)),$R160&gt;'Configurações'!$B$5),TRUE),"DATA INVÁLIDA","OK")))))))))))))</f>
        <v/>
      </c>
    </row>
    <row r="161">
      <c r="A161" s="21" t="n"/>
      <c r="B161" s="21" t="n"/>
      <c r="C161" s="27">
        <f>IFERROR(VLOOKUP($B161,'Estoque Central'!$A$6:$M$205,2,FALSE),"")</f>
        <v/>
      </c>
      <c r="D161" s="25">
        <f>IFERROR(VLOOKUP($B161,'Estoque Central'!$A$6:$M$205,3,FALSE),"")</f>
        <v/>
      </c>
      <c r="E161" s="21" t="n"/>
      <c r="F161" s="22" t="n"/>
      <c r="G161" s="22" t="n"/>
      <c r="H161" s="25">
        <f>IFERROR(VLOOKUP($E161,'Configurações'!$A$11:$F$20,2,FALSE),"")</f>
        <v/>
      </c>
      <c r="I161" s="28">
        <f>IFERROR(VLOOKUP($E161,'Configurações'!$A$11:$F$20,3,FALSE),"")</f>
        <v/>
      </c>
      <c r="J161" s="24">
        <f>IFERROR(VLOOKUP($E161,'Configurações'!$A$11:$F$20,4,FALSE),"")</f>
        <v/>
      </c>
      <c r="K161" s="24">
        <f>IFERROR(VLOOKUP($E161,'Configurações'!$A$11:$F$20,5,FALSE),"")</f>
        <v/>
      </c>
      <c r="L161" s="24">
        <f>IFERROR(VLOOKUP($B161,'Estoque Central'!$A$6:$M$205,9,FALSE),"")</f>
        <v/>
      </c>
      <c r="M161" s="24">
        <f>IF(COUNTA($A161:$B161,$E161:$G161,$R161)=0,"",IFERROR(IF(OR($C161="",$H161=""),"",IF(OR($D161&lt;&gt;"Ativo",$H161&lt;&gt;"Sim"),0,MIN(IF($J161="",$L161,$J161),ROUNDDOWN($L161*$I161,0)))),""))</f>
        <v/>
      </c>
      <c r="N161" s="24">
        <f>IF(OR($M161="",NOT(ISNUMBER($F161))),"",$M161-$F161)</f>
        <v/>
      </c>
      <c r="O161" s="25">
        <f>IF(COUNTA($A161:$B161,$E161:$G161,$R161)=0,"",IF($S161&lt;&gt;"OK","REVISAR CADASTRO",IF($N161&gt;0,"AUMENTAR",IF($N161&lt;0,"REDUZIR","SEM AÇÃO"))))</f>
        <v/>
      </c>
      <c r="P161" s="25">
        <f>IF(COUNTA($A161:$B161,$E161:$G161,$R161)=0,"",IF($S161&lt;&gt;"OK","REVISAR",IF(OR($D161&lt;&gt;"Ativo",$H161&lt;&gt;"Sim"),IF($F161&gt;0,"ALTO","SEM EXPOSIÇÃO"),IF(OR($F161&gt;$M161,SUMIFS($F$6:$F$305,$B$6:$B$305,$B161,$S$6:$S$305,"OK")&gt;$L161),"ALTO",IF(AND($F161&gt;0,$L161&lt;=$K161),"MÉDIO","BAIXO")))))</f>
        <v/>
      </c>
      <c r="Q161" s="25">
        <f>IF(COUNTA($A161:$B161,$E161:$G161,$R161)=0,"",IF($S161&lt;&gt;"OK","REVISAR",IF($O161="SEM AÇÃO","BAIXA",IF(OR($P161="ALTO",ABS($N161)&gt;='Configurações'!$B$3),"URGENTE",IF(OR($P161="MÉDIO",'Configurações'!$B$5-$R161&gt;'Configurações'!$B$4),"ALTA","NORMAL")))))</f>
        <v/>
      </c>
      <c r="R161" s="23" t="n"/>
      <c r="S161" s="25">
        <f>IF(COUNTA($A161:$B161,$E161:$G161,$R161)=0,"",IF($A161="","ID AUSENTE",IF(COUNTIF($A$6:$A$305,$A161)&gt;1,"ID DUPLICADO",IF($B161="","SKU AUSENTE",IF(COUNTIF('Estoque Central'!$A$6:$A$205,$B161)=0,"SKU NÃO CADASTRADO",IF(IFERROR(VLOOKUP($B161,'Estoque Central'!$A$6:$M$205,13,FALSE),"")&lt;&gt;"OK","ESTOQUE CENTRAL COM PENDÊNCIA",IF($E161="","CANAL AUSENTE",IF(COUNTIF('Configurações'!$A$11:$A$20,$E161)=0,"CANAL NÃO CONFIGURADO",IF(IFERROR(VLOOKUP($E161,'Configurações'!$A$11:$F$20,6,FALSE),"")&lt;&gt;"OK","CANAL COM PENDÊNCIA",IF(COUNTIFS($B$6:$B$305,$B161,$E$6:$E$305,$E161)&gt;1,"SKU/CANAL DUPLICADO",IF(IFERROR(OR(NOT(ISNUMBER($F161)),$F161&lt;0,MOD($F161,1)&lt;&gt;0),TRUE),"SALDO PUBLICADO INVÁLIDO",IF(IFERROR(OR(NOT(ISNUMBER($G161)),$G161&lt;0,MOD($G161,1)&lt;&gt;0),TRUE),"PEDIDOS PENDENTES INVÁLIDOS",IF(IFERROR(OR(NOT(ISNUMBER($R161)),$R161&gt;'Configurações'!$B$5),TRUE),"DATA INVÁLIDA","OK")))))))))))))</f>
        <v/>
      </c>
    </row>
    <row r="162">
      <c r="A162" s="21" t="n"/>
      <c r="B162" s="21" t="n"/>
      <c r="C162" s="27">
        <f>IFERROR(VLOOKUP($B162,'Estoque Central'!$A$6:$M$205,2,FALSE),"")</f>
        <v/>
      </c>
      <c r="D162" s="25">
        <f>IFERROR(VLOOKUP($B162,'Estoque Central'!$A$6:$M$205,3,FALSE),"")</f>
        <v/>
      </c>
      <c r="E162" s="21" t="n"/>
      <c r="F162" s="22" t="n"/>
      <c r="G162" s="22" t="n"/>
      <c r="H162" s="25">
        <f>IFERROR(VLOOKUP($E162,'Configurações'!$A$11:$F$20,2,FALSE),"")</f>
        <v/>
      </c>
      <c r="I162" s="28">
        <f>IFERROR(VLOOKUP($E162,'Configurações'!$A$11:$F$20,3,FALSE),"")</f>
        <v/>
      </c>
      <c r="J162" s="24">
        <f>IFERROR(VLOOKUP($E162,'Configurações'!$A$11:$F$20,4,FALSE),"")</f>
        <v/>
      </c>
      <c r="K162" s="24">
        <f>IFERROR(VLOOKUP($E162,'Configurações'!$A$11:$F$20,5,FALSE),"")</f>
        <v/>
      </c>
      <c r="L162" s="24">
        <f>IFERROR(VLOOKUP($B162,'Estoque Central'!$A$6:$M$205,9,FALSE),"")</f>
        <v/>
      </c>
      <c r="M162" s="24">
        <f>IF(COUNTA($A162:$B162,$E162:$G162,$R162)=0,"",IFERROR(IF(OR($C162="",$H162=""),"",IF(OR($D162&lt;&gt;"Ativo",$H162&lt;&gt;"Sim"),0,MIN(IF($J162="",$L162,$J162),ROUNDDOWN($L162*$I162,0)))),""))</f>
        <v/>
      </c>
      <c r="N162" s="24">
        <f>IF(OR($M162="",NOT(ISNUMBER($F162))),"",$M162-$F162)</f>
        <v/>
      </c>
      <c r="O162" s="25">
        <f>IF(COUNTA($A162:$B162,$E162:$G162,$R162)=0,"",IF($S162&lt;&gt;"OK","REVISAR CADASTRO",IF($N162&gt;0,"AUMENTAR",IF($N162&lt;0,"REDUZIR","SEM AÇÃO"))))</f>
        <v/>
      </c>
      <c r="P162" s="25">
        <f>IF(COUNTA($A162:$B162,$E162:$G162,$R162)=0,"",IF($S162&lt;&gt;"OK","REVISAR",IF(OR($D162&lt;&gt;"Ativo",$H162&lt;&gt;"Sim"),IF($F162&gt;0,"ALTO","SEM EXPOSIÇÃO"),IF(OR($F162&gt;$M162,SUMIFS($F$6:$F$305,$B$6:$B$305,$B162,$S$6:$S$305,"OK")&gt;$L162),"ALTO",IF(AND($F162&gt;0,$L162&lt;=$K162),"MÉDIO","BAIXO")))))</f>
        <v/>
      </c>
      <c r="Q162" s="25">
        <f>IF(COUNTA($A162:$B162,$E162:$G162,$R162)=0,"",IF($S162&lt;&gt;"OK","REVISAR",IF($O162="SEM AÇÃO","BAIXA",IF(OR($P162="ALTO",ABS($N162)&gt;='Configurações'!$B$3),"URGENTE",IF(OR($P162="MÉDIO",'Configurações'!$B$5-$R162&gt;'Configurações'!$B$4),"ALTA","NORMAL")))))</f>
        <v/>
      </c>
      <c r="R162" s="23" t="n"/>
      <c r="S162" s="25">
        <f>IF(COUNTA($A162:$B162,$E162:$G162,$R162)=0,"",IF($A162="","ID AUSENTE",IF(COUNTIF($A$6:$A$305,$A162)&gt;1,"ID DUPLICADO",IF($B162="","SKU AUSENTE",IF(COUNTIF('Estoque Central'!$A$6:$A$205,$B162)=0,"SKU NÃO CADASTRADO",IF(IFERROR(VLOOKUP($B162,'Estoque Central'!$A$6:$M$205,13,FALSE),"")&lt;&gt;"OK","ESTOQUE CENTRAL COM PENDÊNCIA",IF($E162="","CANAL AUSENTE",IF(COUNTIF('Configurações'!$A$11:$A$20,$E162)=0,"CANAL NÃO CONFIGURADO",IF(IFERROR(VLOOKUP($E162,'Configurações'!$A$11:$F$20,6,FALSE),"")&lt;&gt;"OK","CANAL COM PENDÊNCIA",IF(COUNTIFS($B$6:$B$305,$B162,$E$6:$E$305,$E162)&gt;1,"SKU/CANAL DUPLICADO",IF(IFERROR(OR(NOT(ISNUMBER($F162)),$F162&lt;0,MOD($F162,1)&lt;&gt;0),TRUE),"SALDO PUBLICADO INVÁLIDO",IF(IFERROR(OR(NOT(ISNUMBER($G162)),$G162&lt;0,MOD($G162,1)&lt;&gt;0),TRUE),"PEDIDOS PENDENTES INVÁLIDOS",IF(IFERROR(OR(NOT(ISNUMBER($R162)),$R162&gt;'Configurações'!$B$5),TRUE),"DATA INVÁLIDA","OK")))))))))))))</f>
        <v/>
      </c>
    </row>
    <row r="163">
      <c r="A163" s="21" t="n"/>
      <c r="B163" s="21" t="n"/>
      <c r="C163" s="27">
        <f>IFERROR(VLOOKUP($B163,'Estoque Central'!$A$6:$M$205,2,FALSE),"")</f>
        <v/>
      </c>
      <c r="D163" s="25">
        <f>IFERROR(VLOOKUP($B163,'Estoque Central'!$A$6:$M$205,3,FALSE),"")</f>
        <v/>
      </c>
      <c r="E163" s="21" t="n"/>
      <c r="F163" s="22" t="n"/>
      <c r="G163" s="22" t="n"/>
      <c r="H163" s="25">
        <f>IFERROR(VLOOKUP($E163,'Configurações'!$A$11:$F$20,2,FALSE),"")</f>
        <v/>
      </c>
      <c r="I163" s="28">
        <f>IFERROR(VLOOKUP($E163,'Configurações'!$A$11:$F$20,3,FALSE),"")</f>
        <v/>
      </c>
      <c r="J163" s="24">
        <f>IFERROR(VLOOKUP($E163,'Configurações'!$A$11:$F$20,4,FALSE),"")</f>
        <v/>
      </c>
      <c r="K163" s="24">
        <f>IFERROR(VLOOKUP($E163,'Configurações'!$A$11:$F$20,5,FALSE),"")</f>
        <v/>
      </c>
      <c r="L163" s="24">
        <f>IFERROR(VLOOKUP($B163,'Estoque Central'!$A$6:$M$205,9,FALSE),"")</f>
        <v/>
      </c>
      <c r="M163" s="24">
        <f>IF(COUNTA($A163:$B163,$E163:$G163,$R163)=0,"",IFERROR(IF(OR($C163="",$H163=""),"",IF(OR($D163&lt;&gt;"Ativo",$H163&lt;&gt;"Sim"),0,MIN(IF($J163="",$L163,$J163),ROUNDDOWN($L163*$I163,0)))),""))</f>
        <v/>
      </c>
      <c r="N163" s="24">
        <f>IF(OR($M163="",NOT(ISNUMBER($F163))),"",$M163-$F163)</f>
        <v/>
      </c>
      <c r="O163" s="25">
        <f>IF(COUNTA($A163:$B163,$E163:$G163,$R163)=0,"",IF($S163&lt;&gt;"OK","REVISAR CADASTRO",IF($N163&gt;0,"AUMENTAR",IF($N163&lt;0,"REDUZIR","SEM AÇÃO"))))</f>
        <v/>
      </c>
      <c r="P163" s="25">
        <f>IF(COUNTA($A163:$B163,$E163:$G163,$R163)=0,"",IF($S163&lt;&gt;"OK","REVISAR",IF(OR($D163&lt;&gt;"Ativo",$H163&lt;&gt;"Sim"),IF($F163&gt;0,"ALTO","SEM EXPOSIÇÃO"),IF(OR($F163&gt;$M163,SUMIFS($F$6:$F$305,$B$6:$B$305,$B163,$S$6:$S$305,"OK")&gt;$L163),"ALTO",IF(AND($F163&gt;0,$L163&lt;=$K163),"MÉDIO","BAIXO")))))</f>
        <v/>
      </c>
      <c r="Q163" s="25">
        <f>IF(COUNTA($A163:$B163,$E163:$G163,$R163)=0,"",IF($S163&lt;&gt;"OK","REVISAR",IF($O163="SEM AÇÃO","BAIXA",IF(OR($P163="ALTO",ABS($N163)&gt;='Configurações'!$B$3),"URGENTE",IF(OR($P163="MÉDIO",'Configurações'!$B$5-$R163&gt;'Configurações'!$B$4),"ALTA","NORMAL")))))</f>
        <v/>
      </c>
      <c r="R163" s="23" t="n"/>
      <c r="S163" s="25">
        <f>IF(COUNTA($A163:$B163,$E163:$G163,$R163)=0,"",IF($A163="","ID AUSENTE",IF(COUNTIF($A$6:$A$305,$A163)&gt;1,"ID DUPLICADO",IF($B163="","SKU AUSENTE",IF(COUNTIF('Estoque Central'!$A$6:$A$205,$B163)=0,"SKU NÃO CADASTRADO",IF(IFERROR(VLOOKUP($B163,'Estoque Central'!$A$6:$M$205,13,FALSE),"")&lt;&gt;"OK","ESTOQUE CENTRAL COM PENDÊNCIA",IF($E163="","CANAL AUSENTE",IF(COUNTIF('Configurações'!$A$11:$A$20,$E163)=0,"CANAL NÃO CONFIGURADO",IF(IFERROR(VLOOKUP($E163,'Configurações'!$A$11:$F$20,6,FALSE),"")&lt;&gt;"OK","CANAL COM PENDÊNCIA",IF(COUNTIFS($B$6:$B$305,$B163,$E$6:$E$305,$E163)&gt;1,"SKU/CANAL DUPLICADO",IF(IFERROR(OR(NOT(ISNUMBER($F163)),$F163&lt;0,MOD($F163,1)&lt;&gt;0),TRUE),"SALDO PUBLICADO INVÁLIDO",IF(IFERROR(OR(NOT(ISNUMBER($G163)),$G163&lt;0,MOD($G163,1)&lt;&gt;0),TRUE),"PEDIDOS PENDENTES INVÁLIDOS",IF(IFERROR(OR(NOT(ISNUMBER($R163)),$R163&gt;'Configurações'!$B$5),TRUE),"DATA INVÁLIDA","OK")))))))))))))</f>
        <v/>
      </c>
    </row>
    <row r="164">
      <c r="A164" s="21" t="n"/>
      <c r="B164" s="21" t="n"/>
      <c r="C164" s="27">
        <f>IFERROR(VLOOKUP($B164,'Estoque Central'!$A$6:$M$205,2,FALSE),"")</f>
        <v/>
      </c>
      <c r="D164" s="25">
        <f>IFERROR(VLOOKUP($B164,'Estoque Central'!$A$6:$M$205,3,FALSE),"")</f>
        <v/>
      </c>
      <c r="E164" s="21" t="n"/>
      <c r="F164" s="22" t="n"/>
      <c r="G164" s="22" t="n"/>
      <c r="H164" s="25">
        <f>IFERROR(VLOOKUP($E164,'Configurações'!$A$11:$F$20,2,FALSE),"")</f>
        <v/>
      </c>
      <c r="I164" s="28">
        <f>IFERROR(VLOOKUP($E164,'Configurações'!$A$11:$F$20,3,FALSE),"")</f>
        <v/>
      </c>
      <c r="J164" s="24">
        <f>IFERROR(VLOOKUP($E164,'Configurações'!$A$11:$F$20,4,FALSE),"")</f>
        <v/>
      </c>
      <c r="K164" s="24">
        <f>IFERROR(VLOOKUP($E164,'Configurações'!$A$11:$F$20,5,FALSE),"")</f>
        <v/>
      </c>
      <c r="L164" s="24">
        <f>IFERROR(VLOOKUP($B164,'Estoque Central'!$A$6:$M$205,9,FALSE),"")</f>
        <v/>
      </c>
      <c r="M164" s="24">
        <f>IF(COUNTA($A164:$B164,$E164:$G164,$R164)=0,"",IFERROR(IF(OR($C164="",$H164=""),"",IF(OR($D164&lt;&gt;"Ativo",$H164&lt;&gt;"Sim"),0,MIN(IF($J164="",$L164,$J164),ROUNDDOWN($L164*$I164,0)))),""))</f>
        <v/>
      </c>
      <c r="N164" s="24">
        <f>IF(OR($M164="",NOT(ISNUMBER($F164))),"",$M164-$F164)</f>
        <v/>
      </c>
      <c r="O164" s="25">
        <f>IF(COUNTA($A164:$B164,$E164:$G164,$R164)=0,"",IF($S164&lt;&gt;"OK","REVISAR CADASTRO",IF($N164&gt;0,"AUMENTAR",IF($N164&lt;0,"REDUZIR","SEM AÇÃO"))))</f>
        <v/>
      </c>
      <c r="P164" s="25">
        <f>IF(COUNTA($A164:$B164,$E164:$G164,$R164)=0,"",IF($S164&lt;&gt;"OK","REVISAR",IF(OR($D164&lt;&gt;"Ativo",$H164&lt;&gt;"Sim"),IF($F164&gt;0,"ALTO","SEM EXPOSIÇÃO"),IF(OR($F164&gt;$M164,SUMIFS($F$6:$F$305,$B$6:$B$305,$B164,$S$6:$S$305,"OK")&gt;$L164),"ALTO",IF(AND($F164&gt;0,$L164&lt;=$K164),"MÉDIO","BAIXO")))))</f>
        <v/>
      </c>
      <c r="Q164" s="25">
        <f>IF(COUNTA($A164:$B164,$E164:$G164,$R164)=0,"",IF($S164&lt;&gt;"OK","REVISAR",IF($O164="SEM AÇÃO","BAIXA",IF(OR($P164="ALTO",ABS($N164)&gt;='Configurações'!$B$3),"URGENTE",IF(OR($P164="MÉDIO",'Configurações'!$B$5-$R164&gt;'Configurações'!$B$4),"ALTA","NORMAL")))))</f>
        <v/>
      </c>
      <c r="R164" s="23" t="n"/>
      <c r="S164" s="25">
        <f>IF(COUNTA($A164:$B164,$E164:$G164,$R164)=0,"",IF($A164="","ID AUSENTE",IF(COUNTIF($A$6:$A$305,$A164)&gt;1,"ID DUPLICADO",IF($B164="","SKU AUSENTE",IF(COUNTIF('Estoque Central'!$A$6:$A$205,$B164)=0,"SKU NÃO CADASTRADO",IF(IFERROR(VLOOKUP($B164,'Estoque Central'!$A$6:$M$205,13,FALSE),"")&lt;&gt;"OK","ESTOQUE CENTRAL COM PENDÊNCIA",IF($E164="","CANAL AUSENTE",IF(COUNTIF('Configurações'!$A$11:$A$20,$E164)=0,"CANAL NÃO CONFIGURADO",IF(IFERROR(VLOOKUP($E164,'Configurações'!$A$11:$F$20,6,FALSE),"")&lt;&gt;"OK","CANAL COM PENDÊNCIA",IF(COUNTIFS($B$6:$B$305,$B164,$E$6:$E$305,$E164)&gt;1,"SKU/CANAL DUPLICADO",IF(IFERROR(OR(NOT(ISNUMBER($F164)),$F164&lt;0,MOD($F164,1)&lt;&gt;0),TRUE),"SALDO PUBLICADO INVÁLIDO",IF(IFERROR(OR(NOT(ISNUMBER($G164)),$G164&lt;0,MOD($G164,1)&lt;&gt;0),TRUE),"PEDIDOS PENDENTES INVÁLIDOS",IF(IFERROR(OR(NOT(ISNUMBER($R164)),$R164&gt;'Configurações'!$B$5),TRUE),"DATA INVÁLIDA","OK")))))))))))))</f>
        <v/>
      </c>
    </row>
    <row r="165">
      <c r="A165" s="21" t="n"/>
      <c r="B165" s="21" t="n"/>
      <c r="C165" s="27">
        <f>IFERROR(VLOOKUP($B165,'Estoque Central'!$A$6:$M$205,2,FALSE),"")</f>
        <v/>
      </c>
      <c r="D165" s="25">
        <f>IFERROR(VLOOKUP($B165,'Estoque Central'!$A$6:$M$205,3,FALSE),"")</f>
        <v/>
      </c>
      <c r="E165" s="21" t="n"/>
      <c r="F165" s="22" t="n"/>
      <c r="G165" s="22" t="n"/>
      <c r="H165" s="25">
        <f>IFERROR(VLOOKUP($E165,'Configurações'!$A$11:$F$20,2,FALSE),"")</f>
        <v/>
      </c>
      <c r="I165" s="28">
        <f>IFERROR(VLOOKUP($E165,'Configurações'!$A$11:$F$20,3,FALSE),"")</f>
        <v/>
      </c>
      <c r="J165" s="24">
        <f>IFERROR(VLOOKUP($E165,'Configurações'!$A$11:$F$20,4,FALSE),"")</f>
        <v/>
      </c>
      <c r="K165" s="24">
        <f>IFERROR(VLOOKUP($E165,'Configurações'!$A$11:$F$20,5,FALSE),"")</f>
        <v/>
      </c>
      <c r="L165" s="24">
        <f>IFERROR(VLOOKUP($B165,'Estoque Central'!$A$6:$M$205,9,FALSE),"")</f>
        <v/>
      </c>
      <c r="M165" s="24">
        <f>IF(COUNTA($A165:$B165,$E165:$G165,$R165)=0,"",IFERROR(IF(OR($C165="",$H165=""),"",IF(OR($D165&lt;&gt;"Ativo",$H165&lt;&gt;"Sim"),0,MIN(IF($J165="",$L165,$J165),ROUNDDOWN($L165*$I165,0)))),""))</f>
        <v/>
      </c>
      <c r="N165" s="24">
        <f>IF(OR($M165="",NOT(ISNUMBER($F165))),"",$M165-$F165)</f>
        <v/>
      </c>
      <c r="O165" s="25">
        <f>IF(COUNTA($A165:$B165,$E165:$G165,$R165)=0,"",IF($S165&lt;&gt;"OK","REVISAR CADASTRO",IF($N165&gt;0,"AUMENTAR",IF($N165&lt;0,"REDUZIR","SEM AÇÃO"))))</f>
        <v/>
      </c>
      <c r="P165" s="25">
        <f>IF(COUNTA($A165:$B165,$E165:$G165,$R165)=0,"",IF($S165&lt;&gt;"OK","REVISAR",IF(OR($D165&lt;&gt;"Ativo",$H165&lt;&gt;"Sim"),IF($F165&gt;0,"ALTO","SEM EXPOSIÇÃO"),IF(OR($F165&gt;$M165,SUMIFS($F$6:$F$305,$B$6:$B$305,$B165,$S$6:$S$305,"OK")&gt;$L165),"ALTO",IF(AND($F165&gt;0,$L165&lt;=$K165),"MÉDIO","BAIXO")))))</f>
        <v/>
      </c>
      <c r="Q165" s="25">
        <f>IF(COUNTA($A165:$B165,$E165:$G165,$R165)=0,"",IF($S165&lt;&gt;"OK","REVISAR",IF($O165="SEM AÇÃO","BAIXA",IF(OR($P165="ALTO",ABS($N165)&gt;='Configurações'!$B$3),"URGENTE",IF(OR($P165="MÉDIO",'Configurações'!$B$5-$R165&gt;'Configurações'!$B$4),"ALTA","NORMAL")))))</f>
        <v/>
      </c>
      <c r="R165" s="23" t="n"/>
      <c r="S165" s="25">
        <f>IF(COUNTA($A165:$B165,$E165:$G165,$R165)=0,"",IF($A165="","ID AUSENTE",IF(COUNTIF($A$6:$A$305,$A165)&gt;1,"ID DUPLICADO",IF($B165="","SKU AUSENTE",IF(COUNTIF('Estoque Central'!$A$6:$A$205,$B165)=0,"SKU NÃO CADASTRADO",IF(IFERROR(VLOOKUP($B165,'Estoque Central'!$A$6:$M$205,13,FALSE),"")&lt;&gt;"OK","ESTOQUE CENTRAL COM PENDÊNCIA",IF($E165="","CANAL AUSENTE",IF(COUNTIF('Configurações'!$A$11:$A$20,$E165)=0,"CANAL NÃO CONFIGURADO",IF(IFERROR(VLOOKUP($E165,'Configurações'!$A$11:$F$20,6,FALSE),"")&lt;&gt;"OK","CANAL COM PENDÊNCIA",IF(COUNTIFS($B$6:$B$305,$B165,$E$6:$E$305,$E165)&gt;1,"SKU/CANAL DUPLICADO",IF(IFERROR(OR(NOT(ISNUMBER($F165)),$F165&lt;0,MOD($F165,1)&lt;&gt;0),TRUE),"SALDO PUBLICADO INVÁLIDO",IF(IFERROR(OR(NOT(ISNUMBER($G165)),$G165&lt;0,MOD($G165,1)&lt;&gt;0),TRUE),"PEDIDOS PENDENTES INVÁLIDOS",IF(IFERROR(OR(NOT(ISNUMBER($R165)),$R165&gt;'Configurações'!$B$5),TRUE),"DATA INVÁLIDA","OK")))))))))))))</f>
        <v/>
      </c>
    </row>
    <row r="166">
      <c r="A166" s="21" t="n"/>
      <c r="B166" s="21" t="n"/>
      <c r="C166" s="27">
        <f>IFERROR(VLOOKUP($B166,'Estoque Central'!$A$6:$M$205,2,FALSE),"")</f>
        <v/>
      </c>
      <c r="D166" s="25">
        <f>IFERROR(VLOOKUP($B166,'Estoque Central'!$A$6:$M$205,3,FALSE),"")</f>
        <v/>
      </c>
      <c r="E166" s="21" t="n"/>
      <c r="F166" s="22" t="n"/>
      <c r="G166" s="22" t="n"/>
      <c r="H166" s="25">
        <f>IFERROR(VLOOKUP($E166,'Configurações'!$A$11:$F$20,2,FALSE),"")</f>
        <v/>
      </c>
      <c r="I166" s="28">
        <f>IFERROR(VLOOKUP($E166,'Configurações'!$A$11:$F$20,3,FALSE),"")</f>
        <v/>
      </c>
      <c r="J166" s="24">
        <f>IFERROR(VLOOKUP($E166,'Configurações'!$A$11:$F$20,4,FALSE),"")</f>
        <v/>
      </c>
      <c r="K166" s="24">
        <f>IFERROR(VLOOKUP($E166,'Configurações'!$A$11:$F$20,5,FALSE),"")</f>
        <v/>
      </c>
      <c r="L166" s="24">
        <f>IFERROR(VLOOKUP($B166,'Estoque Central'!$A$6:$M$205,9,FALSE),"")</f>
        <v/>
      </c>
      <c r="M166" s="24">
        <f>IF(COUNTA($A166:$B166,$E166:$G166,$R166)=0,"",IFERROR(IF(OR($C166="",$H166=""),"",IF(OR($D166&lt;&gt;"Ativo",$H166&lt;&gt;"Sim"),0,MIN(IF($J166="",$L166,$J166),ROUNDDOWN($L166*$I166,0)))),""))</f>
        <v/>
      </c>
      <c r="N166" s="24">
        <f>IF(OR($M166="",NOT(ISNUMBER($F166))),"",$M166-$F166)</f>
        <v/>
      </c>
      <c r="O166" s="25">
        <f>IF(COUNTA($A166:$B166,$E166:$G166,$R166)=0,"",IF($S166&lt;&gt;"OK","REVISAR CADASTRO",IF($N166&gt;0,"AUMENTAR",IF($N166&lt;0,"REDUZIR","SEM AÇÃO"))))</f>
        <v/>
      </c>
      <c r="P166" s="25">
        <f>IF(COUNTA($A166:$B166,$E166:$G166,$R166)=0,"",IF($S166&lt;&gt;"OK","REVISAR",IF(OR($D166&lt;&gt;"Ativo",$H166&lt;&gt;"Sim"),IF($F166&gt;0,"ALTO","SEM EXPOSIÇÃO"),IF(OR($F166&gt;$M166,SUMIFS($F$6:$F$305,$B$6:$B$305,$B166,$S$6:$S$305,"OK")&gt;$L166),"ALTO",IF(AND($F166&gt;0,$L166&lt;=$K166),"MÉDIO","BAIXO")))))</f>
        <v/>
      </c>
      <c r="Q166" s="25">
        <f>IF(COUNTA($A166:$B166,$E166:$G166,$R166)=0,"",IF($S166&lt;&gt;"OK","REVISAR",IF($O166="SEM AÇÃO","BAIXA",IF(OR($P166="ALTO",ABS($N166)&gt;='Configurações'!$B$3),"URGENTE",IF(OR($P166="MÉDIO",'Configurações'!$B$5-$R166&gt;'Configurações'!$B$4),"ALTA","NORMAL")))))</f>
        <v/>
      </c>
      <c r="R166" s="23" t="n"/>
      <c r="S166" s="25">
        <f>IF(COUNTA($A166:$B166,$E166:$G166,$R166)=0,"",IF($A166="","ID AUSENTE",IF(COUNTIF($A$6:$A$305,$A166)&gt;1,"ID DUPLICADO",IF($B166="","SKU AUSENTE",IF(COUNTIF('Estoque Central'!$A$6:$A$205,$B166)=0,"SKU NÃO CADASTRADO",IF(IFERROR(VLOOKUP($B166,'Estoque Central'!$A$6:$M$205,13,FALSE),"")&lt;&gt;"OK","ESTOQUE CENTRAL COM PENDÊNCIA",IF($E166="","CANAL AUSENTE",IF(COUNTIF('Configurações'!$A$11:$A$20,$E166)=0,"CANAL NÃO CONFIGURADO",IF(IFERROR(VLOOKUP($E166,'Configurações'!$A$11:$F$20,6,FALSE),"")&lt;&gt;"OK","CANAL COM PENDÊNCIA",IF(COUNTIFS($B$6:$B$305,$B166,$E$6:$E$305,$E166)&gt;1,"SKU/CANAL DUPLICADO",IF(IFERROR(OR(NOT(ISNUMBER($F166)),$F166&lt;0,MOD($F166,1)&lt;&gt;0),TRUE),"SALDO PUBLICADO INVÁLIDO",IF(IFERROR(OR(NOT(ISNUMBER($G166)),$G166&lt;0,MOD($G166,1)&lt;&gt;0),TRUE),"PEDIDOS PENDENTES INVÁLIDOS",IF(IFERROR(OR(NOT(ISNUMBER($R166)),$R166&gt;'Configurações'!$B$5),TRUE),"DATA INVÁLIDA","OK")))))))))))))</f>
        <v/>
      </c>
    </row>
    <row r="167">
      <c r="A167" s="21" t="n"/>
      <c r="B167" s="21" t="n"/>
      <c r="C167" s="27">
        <f>IFERROR(VLOOKUP($B167,'Estoque Central'!$A$6:$M$205,2,FALSE),"")</f>
        <v/>
      </c>
      <c r="D167" s="25">
        <f>IFERROR(VLOOKUP($B167,'Estoque Central'!$A$6:$M$205,3,FALSE),"")</f>
        <v/>
      </c>
      <c r="E167" s="21" t="n"/>
      <c r="F167" s="22" t="n"/>
      <c r="G167" s="22" t="n"/>
      <c r="H167" s="25">
        <f>IFERROR(VLOOKUP($E167,'Configurações'!$A$11:$F$20,2,FALSE),"")</f>
        <v/>
      </c>
      <c r="I167" s="28">
        <f>IFERROR(VLOOKUP($E167,'Configurações'!$A$11:$F$20,3,FALSE),"")</f>
        <v/>
      </c>
      <c r="J167" s="24">
        <f>IFERROR(VLOOKUP($E167,'Configurações'!$A$11:$F$20,4,FALSE),"")</f>
        <v/>
      </c>
      <c r="K167" s="24">
        <f>IFERROR(VLOOKUP($E167,'Configurações'!$A$11:$F$20,5,FALSE),"")</f>
        <v/>
      </c>
      <c r="L167" s="24">
        <f>IFERROR(VLOOKUP($B167,'Estoque Central'!$A$6:$M$205,9,FALSE),"")</f>
        <v/>
      </c>
      <c r="M167" s="24">
        <f>IF(COUNTA($A167:$B167,$E167:$G167,$R167)=0,"",IFERROR(IF(OR($C167="",$H167=""),"",IF(OR($D167&lt;&gt;"Ativo",$H167&lt;&gt;"Sim"),0,MIN(IF($J167="",$L167,$J167),ROUNDDOWN($L167*$I167,0)))),""))</f>
        <v/>
      </c>
      <c r="N167" s="24">
        <f>IF(OR($M167="",NOT(ISNUMBER($F167))),"",$M167-$F167)</f>
        <v/>
      </c>
      <c r="O167" s="25">
        <f>IF(COUNTA($A167:$B167,$E167:$G167,$R167)=0,"",IF($S167&lt;&gt;"OK","REVISAR CADASTRO",IF($N167&gt;0,"AUMENTAR",IF($N167&lt;0,"REDUZIR","SEM AÇÃO"))))</f>
        <v/>
      </c>
      <c r="P167" s="25">
        <f>IF(COUNTA($A167:$B167,$E167:$G167,$R167)=0,"",IF($S167&lt;&gt;"OK","REVISAR",IF(OR($D167&lt;&gt;"Ativo",$H167&lt;&gt;"Sim"),IF($F167&gt;0,"ALTO","SEM EXPOSIÇÃO"),IF(OR($F167&gt;$M167,SUMIFS($F$6:$F$305,$B$6:$B$305,$B167,$S$6:$S$305,"OK")&gt;$L167),"ALTO",IF(AND($F167&gt;0,$L167&lt;=$K167),"MÉDIO","BAIXO")))))</f>
        <v/>
      </c>
      <c r="Q167" s="25">
        <f>IF(COUNTA($A167:$B167,$E167:$G167,$R167)=0,"",IF($S167&lt;&gt;"OK","REVISAR",IF($O167="SEM AÇÃO","BAIXA",IF(OR($P167="ALTO",ABS($N167)&gt;='Configurações'!$B$3),"URGENTE",IF(OR($P167="MÉDIO",'Configurações'!$B$5-$R167&gt;'Configurações'!$B$4),"ALTA","NORMAL")))))</f>
        <v/>
      </c>
      <c r="R167" s="23" t="n"/>
      <c r="S167" s="25">
        <f>IF(COUNTA($A167:$B167,$E167:$G167,$R167)=0,"",IF($A167="","ID AUSENTE",IF(COUNTIF($A$6:$A$305,$A167)&gt;1,"ID DUPLICADO",IF($B167="","SKU AUSENTE",IF(COUNTIF('Estoque Central'!$A$6:$A$205,$B167)=0,"SKU NÃO CADASTRADO",IF(IFERROR(VLOOKUP($B167,'Estoque Central'!$A$6:$M$205,13,FALSE),"")&lt;&gt;"OK","ESTOQUE CENTRAL COM PENDÊNCIA",IF($E167="","CANAL AUSENTE",IF(COUNTIF('Configurações'!$A$11:$A$20,$E167)=0,"CANAL NÃO CONFIGURADO",IF(IFERROR(VLOOKUP($E167,'Configurações'!$A$11:$F$20,6,FALSE),"")&lt;&gt;"OK","CANAL COM PENDÊNCIA",IF(COUNTIFS($B$6:$B$305,$B167,$E$6:$E$305,$E167)&gt;1,"SKU/CANAL DUPLICADO",IF(IFERROR(OR(NOT(ISNUMBER($F167)),$F167&lt;0,MOD($F167,1)&lt;&gt;0),TRUE),"SALDO PUBLICADO INVÁLIDO",IF(IFERROR(OR(NOT(ISNUMBER($G167)),$G167&lt;0,MOD($G167,1)&lt;&gt;0),TRUE),"PEDIDOS PENDENTES INVÁLIDOS",IF(IFERROR(OR(NOT(ISNUMBER($R167)),$R167&gt;'Configurações'!$B$5),TRUE),"DATA INVÁLIDA","OK")))))))))))))</f>
        <v/>
      </c>
    </row>
    <row r="168">
      <c r="A168" s="21" t="n"/>
      <c r="B168" s="21" t="n"/>
      <c r="C168" s="27">
        <f>IFERROR(VLOOKUP($B168,'Estoque Central'!$A$6:$M$205,2,FALSE),"")</f>
        <v/>
      </c>
      <c r="D168" s="25">
        <f>IFERROR(VLOOKUP($B168,'Estoque Central'!$A$6:$M$205,3,FALSE),"")</f>
        <v/>
      </c>
      <c r="E168" s="21" t="n"/>
      <c r="F168" s="22" t="n"/>
      <c r="G168" s="22" t="n"/>
      <c r="H168" s="25">
        <f>IFERROR(VLOOKUP($E168,'Configurações'!$A$11:$F$20,2,FALSE),"")</f>
        <v/>
      </c>
      <c r="I168" s="28">
        <f>IFERROR(VLOOKUP($E168,'Configurações'!$A$11:$F$20,3,FALSE),"")</f>
        <v/>
      </c>
      <c r="J168" s="24">
        <f>IFERROR(VLOOKUP($E168,'Configurações'!$A$11:$F$20,4,FALSE),"")</f>
        <v/>
      </c>
      <c r="K168" s="24">
        <f>IFERROR(VLOOKUP($E168,'Configurações'!$A$11:$F$20,5,FALSE),"")</f>
        <v/>
      </c>
      <c r="L168" s="24">
        <f>IFERROR(VLOOKUP($B168,'Estoque Central'!$A$6:$M$205,9,FALSE),"")</f>
        <v/>
      </c>
      <c r="M168" s="24">
        <f>IF(COUNTA($A168:$B168,$E168:$G168,$R168)=0,"",IFERROR(IF(OR($C168="",$H168=""),"",IF(OR($D168&lt;&gt;"Ativo",$H168&lt;&gt;"Sim"),0,MIN(IF($J168="",$L168,$J168),ROUNDDOWN($L168*$I168,0)))),""))</f>
        <v/>
      </c>
      <c r="N168" s="24">
        <f>IF(OR($M168="",NOT(ISNUMBER($F168))),"",$M168-$F168)</f>
        <v/>
      </c>
      <c r="O168" s="25">
        <f>IF(COUNTA($A168:$B168,$E168:$G168,$R168)=0,"",IF($S168&lt;&gt;"OK","REVISAR CADASTRO",IF($N168&gt;0,"AUMENTAR",IF($N168&lt;0,"REDUZIR","SEM AÇÃO"))))</f>
        <v/>
      </c>
      <c r="P168" s="25">
        <f>IF(COUNTA($A168:$B168,$E168:$G168,$R168)=0,"",IF($S168&lt;&gt;"OK","REVISAR",IF(OR($D168&lt;&gt;"Ativo",$H168&lt;&gt;"Sim"),IF($F168&gt;0,"ALTO","SEM EXPOSIÇÃO"),IF(OR($F168&gt;$M168,SUMIFS($F$6:$F$305,$B$6:$B$305,$B168,$S$6:$S$305,"OK")&gt;$L168),"ALTO",IF(AND($F168&gt;0,$L168&lt;=$K168),"MÉDIO","BAIXO")))))</f>
        <v/>
      </c>
      <c r="Q168" s="25">
        <f>IF(COUNTA($A168:$B168,$E168:$G168,$R168)=0,"",IF($S168&lt;&gt;"OK","REVISAR",IF($O168="SEM AÇÃO","BAIXA",IF(OR($P168="ALTO",ABS($N168)&gt;='Configurações'!$B$3),"URGENTE",IF(OR($P168="MÉDIO",'Configurações'!$B$5-$R168&gt;'Configurações'!$B$4),"ALTA","NORMAL")))))</f>
        <v/>
      </c>
      <c r="R168" s="23" t="n"/>
      <c r="S168" s="25">
        <f>IF(COUNTA($A168:$B168,$E168:$G168,$R168)=0,"",IF($A168="","ID AUSENTE",IF(COUNTIF($A$6:$A$305,$A168)&gt;1,"ID DUPLICADO",IF($B168="","SKU AUSENTE",IF(COUNTIF('Estoque Central'!$A$6:$A$205,$B168)=0,"SKU NÃO CADASTRADO",IF(IFERROR(VLOOKUP($B168,'Estoque Central'!$A$6:$M$205,13,FALSE),"")&lt;&gt;"OK","ESTOQUE CENTRAL COM PENDÊNCIA",IF($E168="","CANAL AUSENTE",IF(COUNTIF('Configurações'!$A$11:$A$20,$E168)=0,"CANAL NÃO CONFIGURADO",IF(IFERROR(VLOOKUP($E168,'Configurações'!$A$11:$F$20,6,FALSE),"")&lt;&gt;"OK","CANAL COM PENDÊNCIA",IF(COUNTIFS($B$6:$B$305,$B168,$E$6:$E$305,$E168)&gt;1,"SKU/CANAL DUPLICADO",IF(IFERROR(OR(NOT(ISNUMBER($F168)),$F168&lt;0,MOD($F168,1)&lt;&gt;0),TRUE),"SALDO PUBLICADO INVÁLIDO",IF(IFERROR(OR(NOT(ISNUMBER($G168)),$G168&lt;0,MOD($G168,1)&lt;&gt;0),TRUE),"PEDIDOS PENDENTES INVÁLIDOS",IF(IFERROR(OR(NOT(ISNUMBER($R168)),$R168&gt;'Configurações'!$B$5),TRUE),"DATA INVÁLIDA","OK")))))))))))))</f>
        <v/>
      </c>
    </row>
    <row r="169">
      <c r="A169" s="21" t="n"/>
      <c r="B169" s="21" t="n"/>
      <c r="C169" s="27">
        <f>IFERROR(VLOOKUP($B169,'Estoque Central'!$A$6:$M$205,2,FALSE),"")</f>
        <v/>
      </c>
      <c r="D169" s="25">
        <f>IFERROR(VLOOKUP($B169,'Estoque Central'!$A$6:$M$205,3,FALSE),"")</f>
        <v/>
      </c>
      <c r="E169" s="21" t="n"/>
      <c r="F169" s="22" t="n"/>
      <c r="G169" s="22" t="n"/>
      <c r="H169" s="25">
        <f>IFERROR(VLOOKUP($E169,'Configurações'!$A$11:$F$20,2,FALSE),"")</f>
        <v/>
      </c>
      <c r="I169" s="28">
        <f>IFERROR(VLOOKUP($E169,'Configurações'!$A$11:$F$20,3,FALSE),"")</f>
        <v/>
      </c>
      <c r="J169" s="24">
        <f>IFERROR(VLOOKUP($E169,'Configurações'!$A$11:$F$20,4,FALSE),"")</f>
        <v/>
      </c>
      <c r="K169" s="24">
        <f>IFERROR(VLOOKUP($E169,'Configurações'!$A$11:$F$20,5,FALSE),"")</f>
        <v/>
      </c>
      <c r="L169" s="24">
        <f>IFERROR(VLOOKUP($B169,'Estoque Central'!$A$6:$M$205,9,FALSE),"")</f>
        <v/>
      </c>
      <c r="M169" s="24">
        <f>IF(COUNTA($A169:$B169,$E169:$G169,$R169)=0,"",IFERROR(IF(OR($C169="",$H169=""),"",IF(OR($D169&lt;&gt;"Ativo",$H169&lt;&gt;"Sim"),0,MIN(IF($J169="",$L169,$J169),ROUNDDOWN($L169*$I169,0)))),""))</f>
        <v/>
      </c>
      <c r="N169" s="24">
        <f>IF(OR($M169="",NOT(ISNUMBER($F169))),"",$M169-$F169)</f>
        <v/>
      </c>
      <c r="O169" s="25">
        <f>IF(COUNTA($A169:$B169,$E169:$G169,$R169)=0,"",IF($S169&lt;&gt;"OK","REVISAR CADASTRO",IF($N169&gt;0,"AUMENTAR",IF($N169&lt;0,"REDUZIR","SEM AÇÃO"))))</f>
        <v/>
      </c>
      <c r="P169" s="25">
        <f>IF(COUNTA($A169:$B169,$E169:$G169,$R169)=0,"",IF($S169&lt;&gt;"OK","REVISAR",IF(OR($D169&lt;&gt;"Ativo",$H169&lt;&gt;"Sim"),IF($F169&gt;0,"ALTO","SEM EXPOSIÇÃO"),IF(OR($F169&gt;$M169,SUMIFS($F$6:$F$305,$B$6:$B$305,$B169,$S$6:$S$305,"OK")&gt;$L169),"ALTO",IF(AND($F169&gt;0,$L169&lt;=$K169),"MÉDIO","BAIXO")))))</f>
        <v/>
      </c>
      <c r="Q169" s="25">
        <f>IF(COUNTA($A169:$B169,$E169:$G169,$R169)=0,"",IF($S169&lt;&gt;"OK","REVISAR",IF($O169="SEM AÇÃO","BAIXA",IF(OR($P169="ALTO",ABS($N169)&gt;='Configurações'!$B$3),"URGENTE",IF(OR($P169="MÉDIO",'Configurações'!$B$5-$R169&gt;'Configurações'!$B$4),"ALTA","NORMAL")))))</f>
        <v/>
      </c>
      <c r="R169" s="23" t="n"/>
      <c r="S169" s="25">
        <f>IF(COUNTA($A169:$B169,$E169:$G169,$R169)=0,"",IF($A169="","ID AUSENTE",IF(COUNTIF($A$6:$A$305,$A169)&gt;1,"ID DUPLICADO",IF($B169="","SKU AUSENTE",IF(COUNTIF('Estoque Central'!$A$6:$A$205,$B169)=0,"SKU NÃO CADASTRADO",IF(IFERROR(VLOOKUP($B169,'Estoque Central'!$A$6:$M$205,13,FALSE),"")&lt;&gt;"OK","ESTOQUE CENTRAL COM PENDÊNCIA",IF($E169="","CANAL AUSENTE",IF(COUNTIF('Configurações'!$A$11:$A$20,$E169)=0,"CANAL NÃO CONFIGURADO",IF(IFERROR(VLOOKUP($E169,'Configurações'!$A$11:$F$20,6,FALSE),"")&lt;&gt;"OK","CANAL COM PENDÊNCIA",IF(COUNTIFS($B$6:$B$305,$B169,$E$6:$E$305,$E169)&gt;1,"SKU/CANAL DUPLICADO",IF(IFERROR(OR(NOT(ISNUMBER($F169)),$F169&lt;0,MOD($F169,1)&lt;&gt;0),TRUE),"SALDO PUBLICADO INVÁLIDO",IF(IFERROR(OR(NOT(ISNUMBER($G169)),$G169&lt;0,MOD($G169,1)&lt;&gt;0),TRUE),"PEDIDOS PENDENTES INVÁLIDOS",IF(IFERROR(OR(NOT(ISNUMBER($R169)),$R169&gt;'Configurações'!$B$5),TRUE),"DATA INVÁLIDA","OK")))))))))))))</f>
        <v/>
      </c>
    </row>
    <row r="170">
      <c r="A170" s="21" t="n"/>
      <c r="B170" s="21" t="n"/>
      <c r="C170" s="27">
        <f>IFERROR(VLOOKUP($B170,'Estoque Central'!$A$6:$M$205,2,FALSE),"")</f>
        <v/>
      </c>
      <c r="D170" s="25">
        <f>IFERROR(VLOOKUP($B170,'Estoque Central'!$A$6:$M$205,3,FALSE),"")</f>
        <v/>
      </c>
      <c r="E170" s="21" t="n"/>
      <c r="F170" s="22" t="n"/>
      <c r="G170" s="22" t="n"/>
      <c r="H170" s="25">
        <f>IFERROR(VLOOKUP($E170,'Configurações'!$A$11:$F$20,2,FALSE),"")</f>
        <v/>
      </c>
      <c r="I170" s="28">
        <f>IFERROR(VLOOKUP($E170,'Configurações'!$A$11:$F$20,3,FALSE),"")</f>
        <v/>
      </c>
      <c r="J170" s="24">
        <f>IFERROR(VLOOKUP($E170,'Configurações'!$A$11:$F$20,4,FALSE),"")</f>
        <v/>
      </c>
      <c r="K170" s="24">
        <f>IFERROR(VLOOKUP($E170,'Configurações'!$A$11:$F$20,5,FALSE),"")</f>
        <v/>
      </c>
      <c r="L170" s="24">
        <f>IFERROR(VLOOKUP($B170,'Estoque Central'!$A$6:$M$205,9,FALSE),"")</f>
        <v/>
      </c>
      <c r="M170" s="24">
        <f>IF(COUNTA($A170:$B170,$E170:$G170,$R170)=0,"",IFERROR(IF(OR($C170="",$H170=""),"",IF(OR($D170&lt;&gt;"Ativo",$H170&lt;&gt;"Sim"),0,MIN(IF($J170="",$L170,$J170),ROUNDDOWN($L170*$I170,0)))),""))</f>
        <v/>
      </c>
      <c r="N170" s="24">
        <f>IF(OR($M170="",NOT(ISNUMBER($F170))),"",$M170-$F170)</f>
        <v/>
      </c>
      <c r="O170" s="25">
        <f>IF(COUNTA($A170:$B170,$E170:$G170,$R170)=0,"",IF($S170&lt;&gt;"OK","REVISAR CADASTRO",IF($N170&gt;0,"AUMENTAR",IF($N170&lt;0,"REDUZIR","SEM AÇÃO"))))</f>
        <v/>
      </c>
      <c r="P170" s="25">
        <f>IF(COUNTA($A170:$B170,$E170:$G170,$R170)=0,"",IF($S170&lt;&gt;"OK","REVISAR",IF(OR($D170&lt;&gt;"Ativo",$H170&lt;&gt;"Sim"),IF($F170&gt;0,"ALTO","SEM EXPOSIÇÃO"),IF(OR($F170&gt;$M170,SUMIFS($F$6:$F$305,$B$6:$B$305,$B170,$S$6:$S$305,"OK")&gt;$L170),"ALTO",IF(AND($F170&gt;0,$L170&lt;=$K170),"MÉDIO","BAIXO")))))</f>
        <v/>
      </c>
      <c r="Q170" s="25">
        <f>IF(COUNTA($A170:$B170,$E170:$G170,$R170)=0,"",IF($S170&lt;&gt;"OK","REVISAR",IF($O170="SEM AÇÃO","BAIXA",IF(OR($P170="ALTO",ABS($N170)&gt;='Configurações'!$B$3),"URGENTE",IF(OR($P170="MÉDIO",'Configurações'!$B$5-$R170&gt;'Configurações'!$B$4),"ALTA","NORMAL")))))</f>
        <v/>
      </c>
      <c r="R170" s="23" t="n"/>
      <c r="S170" s="25">
        <f>IF(COUNTA($A170:$B170,$E170:$G170,$R170)=0,"",IF($A170="","ID AUSENTE",IF(COUNTIF($A$6:$A$305,$A170)&gt;1,"ID DUPLICADO",IF($B170="","SKU AUSENTE",IF(COUNTIF('Estoque Central'!$A$6:$A$205,$B170)=0,"SKU NÃO CADASTRADO",IF(IFERROR(VLOOKUP($B170,'Estoque Central'!$A$6:$M$205,13,FALSE),"")&lt;&gt;"OK","ESTOQUE CENTRAL COM PENDÊNCIA",IF($E170="","CANAL AUSENTE",IF(COUNTIF('Configurações'!$A$11:$A$20,$E170)=0,"CANAL NÃO CONFIGURADO",IF(IFERROR(VLOOKUP($E170,'Configurações'!$A$11:$F$20,6,FALSE),"")&lt;&gt;"OK","CANAL COM PENDÊNCIA",IF(COUNTIFS($B$6:$B$305,$B170,$E$6:$E$305,$E170)&gt;1,"SKU/CANAL DUPLICADO",IF(IFERROR(OR(NOT(ISNUMBER($F170)),$F170&lt;0,MOD($F170,1)&lt;&gt;0),TRUE),"SALDO PUBLICADO INVÁLIDO",IF(IFERROR(OR(NOT(ISNUMBER($G170)),$G170&lt;0,MOD($G170,1)&lt;&gt;0),TRUE),"PEDIDOS PENDENTES INVÁLIDOS",IF(IFERROR(OR(NOT(ISNUMBER($R170)),$R170&gt;'Configurações'!$B$5),TRUE),"DATA INVÁLIDA","OK")))))))))))))</f>
        <v/>
      </c>
    </row>
    <row r="171">
      <c r="A171" s="21" t="n"/>
      <c r="B171" s="21" t="n"/>
      <c r="C171" s="27">
        <f>IFERROR(VLOOKUP($B171,'Estoque Central'!$A$6:$M$205,2,FALSE),"")</f>
        <v/>
      </c>
      <c r="D171" s="25">
        <f>IFERROR(VLOOKUP($B171,'Estoque Central'!$A$6:$M$205,3,FALSE),"")</f>
        <v/>
      </c>
      <c r="E171" s="21" t="n"/>
      <c r="F171" s="22" t="n"/>
      <c r="G171" s="22" t="n"/>
      <c r="H171" s="25">
        <f>IFERROR(VLOOKUP($E171,'Configurações'!$A$11:$F$20,2,FALSE),"")</f>
        <v/>
      </c>
      <c r="I171" s="28">
        <f>IFERROR(VLOOKUP($E171,'Configurações'!$A$11:$F$20,3,FALSE),"")</f>
        <v/>
      </c>
      <c r="J171" s="24">
        <f>IFERROR(VLOOKUP($E171,'Configurações'!$A$11:$F$20,4,FALSE),"")</f>
        <v/>
      </c>
      <c r="K171" s="24">
        <f>IFERROR(VLOOKUP($E171,'Configurações'!$A$11:$F$20,5,FALSE),"")</f>
        <v/>
      </c>
      <c r="L171" s="24">
        <f>IFERROR(VLOOKUP($B171,'Estoque Central'!$A$6:$M$205,9,FALSE),"")</f>
        <v/>
      </c>
      <c r="M171" s="24">
        <f>IF(COUNTA($A171:$B171,$E171:$G171,$R171)=0,"",IFERROR(IF(OR($C171="",$H171=""),"",IF(OR($D171&lt;&gt;"Ativo",$H171&lt;&gt;"Sim"),0,MIN(IF($J171="",$L171,$J171),ROUNDDOWN($L171*$I171,0)))),""))</f>
        <v/>
      </c>
      <c r="N171" s="24">
        <f>IF(OR($M171="",NOT(ISNUMBER($F171))),"",$M171-$F171)</f>
        <v/>
      </c>
      <c r="O171" s="25">
        <f>IF(COUNTA($A171:$B171,$E171:$G171,$R171)=0,"",IF($S171&lt;&gt;"OK","REVISAR CADASTRO",IF($N171&gt;0,"AUMENTAR",IF($N171&lt;0,"REDUZIR","SEM AÇÃO"))))</f>
        <v/>
      </c>
      <c r="P171" s="25">
        <f>IF(COUNTA($A171:$B171,$E171:$G171,$R171)=0,"",IF($S171&lt;&gt;"OK","REVISAR",IF(OR($D171&lt;&gt;"Ativo",$H171&lt;&gt;"Sim"),IF($F171&gt;0,"ALTO","SEM EXPOSIÇÃO"),IF(OR($F171&gt;$M171,SUMIFS($F$6:$F$305,$B$6:$B$305,$B171,$S$6:$S$305,"OK")&gt;$L171),"ALTO",IF(AND($F171&gt;0,$L171&lt;=$K171),"MÉDIO","BAIXO")))))</f>
        <v/>
      </c>
      <c r="Q171" s="25">
        <f>IF(COUNTA($A171:$B171,$E171:$G171,$R171)=0,"",IF($S171&lt;&gt;"OK","REVISAR",IF($O171="SEM AÇÃO","BAIXA",IF(OR($P171="ALTO",ABS($N171)&gt;='Configurações'!$B$3),"URGENTE",IF(OR($P171="MÉDIO",'Configurações'!$B$5-$R171&gt;'Configurações'!$B$4),"ALTA","NORMAL")))))</f>
        <v/>
      </c>
      <c r="R171" s="23" t="n"/>
      <c r="S171" s="25">
        <f>IF(COUNTA($A171:$B171,$E171:$G171,$R171)=0,"",IF($A171="","ID AUSENTE",IF(COUNTIF($A$6:$A$305,$A171)&gt;1,"ID DUPLICADO",IF($B171="","SKU AUSENTE",IF(COUNTIF('Estoque Central'!$A$6:$A$205,$B171)=0,"SKU NÃO CADASTRADO",IF(IFERROR(VLOOKUP($B171,'Estoque Central'!$A$6:$M$205,13,FALSE),"")&lt;&gt;"OK","ESTOQUE CENTRAL COM PENDÊNCIA",IF($E171="","CANAL AUSENTE",IF(COUNTIF('Configurações'!$A$11:$A$20,$E171)=0,"CANAL NÃO CONFIGURADO",IF(IFERROR(VLOOKUP($E171,'Configurações'!$A$11:$F$20,6,FALSE),"")&lt;&gt;"OK","CANAL COM PENDÊNCIA",IF(COUNTIFS($B$6:$B$305,$B171,$E$6:$E$305,$E171)&gt;1,"SKU/CANAL DUPLICADO",IF(IFERROR(OR(NOT(ISNUMBER($F171)),$F171&lt;0,MOD($F171,1)&lt;&gt;0),TRUE),"SALDO PUBLICADO INVÁLIDO",IF(IFERROR(OR(NOT(ISNUMBER($G171)),$G171&lt;0,MOD($G171,1)&lt;&gt;0),TRUE),"PEDIDOS PENDENTES INVÁLIDOS",IF(IFERROR(OR(NOT(ISNUMBER($R171)),$R171&gt;'Configurações'!$B$5),TRUE),"DATA INVÁLIDA","OK")))))))))))))</f>
        <v/>
      </c>
    </row>
    <row r="172">
      <c r="A172" s="21" t="n"/>
      <c r="B172" s="21" t="n"/>
      <c r="C172" s="27">
        <f>IFERROR(VLOOKUP($B172,'Estoque Central'!$A$6:$M$205,2,FALSE),"")</f>
        <v/>
      </c>
      <c r="D172" s="25">
        <f>IFERROR(VLOOKUP($B172,'Estoque Central'!$A$6:$M$205,3,FALSE),"")</f>
        <v/>
      </c>
      <c r="E172" s="21" t="n"/>
      <c r="F172" s="22" t="n"/>
      <c r="G172" s="22" t="n"/>
      <c r="H172" s="25">
        <f>IFERROR(VLOOKUP($E172,'Configurações'!$A$11:$F$20,2,FALSE),"")</f>
        <v/>
      </c>
      <c r="I172" s="28">
        <f>IFERROR(VLOOKUP($E172,'Configurações'!$A$11:$F$20,3,FALSE),"")</f>
        <v/>
      </c>
      <c r="J172" s="24">
        <f>IFERROR(VLOOKUP($E172,'Configurações'!$A$11:$F$20,4,FALSE),"")</f>
        <v/>
      </c>
      <c r="K172" s="24">
        <f>IFERROR(VLOOKUP($E172,'Configurações'!$A$11:$F$20,5,FALSE),"")</f>
        <v/>
      </c>
      <c r="L172" s="24">
        <f>IFERROR(VLOOKUP($B172,'Estoque Central'!$A$6:$M$205,9,FALSE),"")</f>
        <v/>
      </c>
      <c r="M172" s="24">
        <f>IF(COUNTA($A172:$B172,$E172:$G172,$R172)=0,"",IFERROR(IF(OR($C172="",$H172=""),"",IF(OR($D172&lt;&gt;"Ativo",$H172&lt;&gt;"Sim"),0,MIN(IF($J172="",$L172,$J172),ROUNDDOWN($L172*$I172,0)))),""))</f>
        <v/>
      </c>
      <c r="N172" s="24">
        <f>IF(OR($M172="",NOT(ISNUMBER($F172))),"",$M172-$F172)</f>
        <v/>
      </c>
      <c r="O172" s="25">
        <f>IF(COUNTA($A172:$B172,$E172:$G172,$R172)=0,"",IF($S172&lt;&gt;"OK","REVISAR CADASTRO",IF($N172&gt;0,"AUMENTAR",IF($N172&lt;0,"REDUZIR","SEM AÇÃO"))))</f>
        <v/>
      </c>
      <c r="P172" s="25">
        <f>IF(COUNTA($A172:$B172,$E172:$G172,$R172)=0,"",IF($S172&lt;&gt;"OK","REVISAR",IF(OR($D172&lt;&gt;"Ativo",$H172&lt;&gt;"Sim"),IF($F172&gt;0,"ALTO","SEM EXPOSIÇÃO"),IF(OR($F172&gt;$M172,SUMIFS($F$6:$F$305,$B$6:$B$305,$B172,$S$6:$S$305,"OK")&gt;$L172),"ALTO",IF(AND($F172&gt;0,$L172&lt;=$K172),"MÉDIO","BAIXO")))))</f>
        <v/>
      </c>
      <c r="Q172" s="25">
        <f>IF(COUNTA($A172:$B172,$E172:$G172,$R172)=0,"",IF($S172&lt;&gt;"OK","REVISAR",IF($O172="SEM AÇÃO","BAIXA",IF(OR($P172="ALTO",ABS($N172)&gt;='Configurações'!$B$3),"URGENTE",IF(OR($P172="MÉDIO",'Configurações'!$B$5-$R172&gt;'Configurações'!$B$4),"ALTA","NORMAL")))))</f>
        <v/>
      </c>
      <c r="R172" s="23" t="n"/>
      <c r="S172" s="25">
        <f>IF(COUNTA($A172:$B172,$E172:$G172,$R172)=0,"",IF($A172="","ID AUSENTE",IF(COUNTIF($A$6:$A$305,$A172)&gt;1,"ID DUPLICADO",IF($B172="","SKU AUSENTE",IF(COUNTIF('Estoque Central'!$A$6:$A$205,$B172)=0,"SKU NÃO CADASTRADO",IF(IFERROR(VLOOKUP($B172,'Estoque Central'!$A$6:$M$205,13,FALSE),"")&lt;&gt;"OK","ESTOQUE CENTRAL COM PENDÊNCIA",IF($E172="","CANAL AUSENTE",IF(COUNTIF('Configurações'!$A$11:$A$20,$E172)=0,"CANAL NÃO CONFIGURADO",IF(IFERROR(VLOOKUP($E172,'Configurações'!$A$11:$F$20,6,FALSE),"")&lt;&gt;"OK","CANAL COM PENDÊNCIA",IF(COUNTIFS($B$6:$B$305,$B172,$E$6:$E$305,$E172)&gt;1,"SKU/CANAL DUPLICADO",IF(IFERROR(OR(NOT(ISNUMBER($F172)),$F172&lt;0,MOD($F172,1)&lt;&gt;0),TRUE),"SALDO PUBLICADO INVÁLIDO",IF(IFERROR(OR(NOT(ISNUMBER($G172)),$G172&lt;0,MOD($G172,1)&lt;&gt;0),TRUE),"PEDIDOS PENDENTES INVÁLIDOS",IF(IFERROR(OR(NOT(ISNUMBER($R172)),$R172&gt;'Configurações'!$B$5),TRUE),"DATA INVÁLIDA","OK")))))))))))))</f>
        <v/>
      </c>
    </row>
    <row r="173">
      <c r="A173" s="21" t="n"/>
      <c r="B173" s="21" t="n"/>
      <c r="C173" s="27">
        <f>IFERROR(VLOOKUP($B173,'Estoque Central'!$A$6:$M$205,2,FALSE),"")</f>
        <v/>
      </c>
      <c r="D173" s="25">
        <f>IFERROR(VLOOKUP($B173,'Estoque Central'!$A$6:$M$205,3,FALSE),"")</f>
        <v/>
      </c>
      <c r="E173" s="21" t="n"/>
      <c r="F173" s="22" t="n"/>
      <c r="G173" s="22" t="n"/>
      <c r="H173" s="25">
        <f>IFERROR(VLOOKUP($E173,'Configurações'!$A$11:$F$20,2,FALSE),"")</f>
        <v/>
      </c>
      <c r="I173" s="28">
        <f>IFERROR(VLOOKUP($E173,'Configurações'!$A$11:$F$20,3,FALSE),"")</f>
        <v/>
      </c>
      <c r="J173" s="24">
        <f>IFERROR(VLOOKUP($E173,'Configurações'!$A$11:$F$20,4,FALSE),"")</f>
        <v/>
      </c>
      <c r="K173" s="24">
        <f>IFERROR(VLOOKUP($E173,'Configurações'!$A$11:$F$20,5,FALSE),"")</f>
        <v/>
      </c>
      <c r="L173" s="24">
        <f>IFERROR(VLOOKUP($B173,'Estoque Central'!$A$6:$M$205,9,FALSE),"")</f>
        <v/>
      </c>
      <c r="M173" s="24">
        <f>IF(COUNTA($A173:$B173,$E173:$G173,$R173)=0,"",IFERROR(IF(OR($C173="",$H173=""),"",IF(OR($D173&lt;&gt;"Ativo",$H173&lt;&gt;"Sim"),0,MIN(IF($J173="",$L173,$J173),ROUNDDOWN($L173*$I173,0)))),""))</f>
        <v/>
      </c>
      <c r="N173" s="24">
        <f>IF(OR($M173="",NOT(ISNUMBER($F173))),"",$M173-$F173)</f>
        <v/>
      </c>
      <c r="O173" s="25">
        <f>IF(COUNTA($A173:$B173,$E173:$G173,$R173)=0,"",IF($S173&lt;&gt;"OK","REVISAR CADASTRO",IF($N173&gt;0,"AUMENTAR",IF($N173&lt;0,"REDUZIR","SEM AÇÃO"))))</f>
        <v/>
      </c>
      <c r="P173" s="25">
        <f>IF(COUNTA($A173:$B173,$E173:$G173,$R173)=0,"",IF($S173&lt;&gt;"OK","REVISAR",IF(OR($D173&lt;&gt;"Ativo",$H173&lt;&gt;"Sim"),IF($F173&gt;0,"ALTO","SEM EXPOSIÇÃO"),IF(OR($F173&gt;$M173,SUMIFS($F$6:$F$305,$B$6:$B$305,$B173,$S$6:$S$305,"OK")&gt;$L173),"ALTO",IF(AND($F173&gt;0,$L173&lt;=$K173),"MÉDIO","BAIXO")))))</f>
        <v/>
      </c>
      <c r="Q173" s="25">
        <f>IF(COUNTA($A173:$B173,$E173:$G173,$R173)=0,"",IF($S173&lt;&gt;"OK","REVISAR",IF($O173="SEM AÇÃO","BAIXA",IF(OR($P173="ALTO",ABS($N173)&gt;='Configurações'!$B$3),"URGENTE",IF(OR($P173="MÉDIO",'Configurações'!$B$5-$R173&gt;'Configurações'!$B$4),"ALTA","NORMAL")))))</f>
        <v/>
      </c>
      <c r="R173" s="23" t="n"/>
      <c r="S173" s="25">
        <f>IF(COUNTA($A173:$B173,$E173:$G173,$R173)=0,"",IF($A173="","ID AUSENTE",IF(COUNTIF($A$6:$A$305,$A173)&gt;1,"ID DUPLICADO",IF($B173="","SKU AUSENTE",IF(COUNTIF('Estoque Central'!$A$6:$A$205,$B173)=0,"SKU NÃO CADASTRADO",IF(IFERROR(VLOOKUP($B173,'Estoque Central'!$A$6:$M$205,13,FALSE),"")&lt;&gt;"OK","ESTOQUE CENTRAL COM PENDÊNCIA",IF($E173="","CANAL AUSENTE",IF(COUNTIF('Configurações'!$A$11:$A$20,$E173)=0,"CANAL NÃO CONFIGURADO",IF(IFERROR(VLOOKUP($E173,'Configurações'!$A$11:$F$20,6,FALSE),"")&lt;&gt;"OK","CANAL COM PENDÊNCIA",IF(COUNTIFS($B$6:$B$305,$B173,$E$6:$E$305,$E173)&gt;1,"SKU/CANAL DUPLICADO",IF(IFERROR(OR(NOT(ISNUMBER($F173)),$F173&lt;0,MOD($F173,1)&lt;&gt;0),TRUE),"SALDO PUBLICADO INVÁLIDO",IF(IFERROR(OR(NOT(ISNUMBER($G173)),$G173&lt;0,MOD($G173,1)&lt;&gt;0),TRUE),"PEDIDOS PENDENTES INVÁLIDOS",IF(IFERROR(OR(NOT(ISNUMBER($R173)),$R173&gt;'Configurações'!$B$5),TRUE),"DATA INVÁLIDA","OK")))))))))))))</f>
        <v/>
      </c>
    </row>
    <row r="174">
      <c r="A174" s="21" t="n"/>
      <c r="B174" s="21" t="n"/>
      <c r="C174" s="27">
        <f>IFERROR(VLOOKUP($B174,'Estoque Central'!$A$6:$M$205,2,FALSE),"")</f>
        <v/>
      </c>
      <c r="D174" s="25">
        <f>IFERROR(VLOOKUP($B174,'Estoque Central'!$A$6:$M$205,3,FALSE),"")</f>
        <v/>
      </c>
      <c r="E174" s="21" t="n"/>
      <c r="F174" s="22" t="n"/>
      <c r="G174" s="22" t="n"/>
      <c r="H174" s="25">
        <f>IFERROR(VLOOKUP($E174,'Configurações'!$A$11:$F$20,2,FALSE),"")</f>
        <v/>
      </c>
      <c r="I174" s="28">
        <f>IFERROR(VLOOKUP($E174,'Configurações'!$A$11:$F$20,3,FALSE),"")</f>
        <v/>
      </c>
      <c r="J174" s="24">
        <f>IFERROR(VLOOKUP($E174,'Configurações'!$A$11:$F$20,4,FALSE),"")</f>
        <v/>
      </c>
      <c r="K174" s="24">
        <f>IFERROR(VLOOKUP($E174,'Configurações'!$A$11:$F$20,5,FALSE),"")</f>
        <v/>
      </c>
      <c r="L174" s="24">
        <f>IFERROR(VLOOKUP($B174,'Estoque Central'!$A$6:$M$205,9,FALSE),"")</f>
        <v/>
      </c>
      <c r="M174" s="24">
        <f>IF(COUNTA($A174:$B174,$E174:$G174,$R174)=0,"",IFERROR(IF(OR($C174="",$H174=""),"",IF(OR($D174&lt;&gt;"Ativo",$H174&lt;&gt;"Sim"),0,MIN(IF($J174="",$L174,$J174),ROUNDDOWN($L174*$I174,0)))),""))</f>
        <v/>
      </c>
      <c r="N174" s="24">
        <f>IF(OR($M174="",NOT(ISNUMBER($F174))),"",$M174-$F174)</f>
        <v/>
      </c>
      <c r="O174" s="25">
        <f>IF(COUNTA($A174:$B174,$E174:$G174,$R174)=0,"",IF($S174&lt;&gt;"OK","REVISAR CADASTRO",IF($N174&gt;0,"AUMENTAR",IF($N174&lt;0,"REDUZIR","SEM AÇÃO"))))</f>
        <v/>
      </c>
      <c r="P174" s="25">
        <f>IF(COUNTA($A174:$B174,$E174:$G174,$R174)=0,"",IF($S174&lt;&gt;"OK","REVISAR",IF(OR($D174&lt;&gt;"Ativo",$H174&lt;&gt;"Sim"),IF($F174&gt;0,"ALTO","SEM EXPOSIÇÃO"),IF(OR($F174&gt;$M174,SUMIFS($F$6:$F$305,$B$6:$B$305,$B174,$S$6:$S$305,"OK")&gt;$L174),"ALTO",IF(AND($F174&gt;0,$L174&lt;=$K174),"MÉDIO","BAIXO")))))</f>
        <v/>
      </c>
      <c r="Q174" s="25">
        <f>IF(COUNTA($A174:$B174,$E174:$G174,$R174)=0,"",IF($S174&lt;&gt;"OK","REVISAR",IF($O174="SEM AÇÃO","BAIXA",IF(OR($P174="ALTO",ABS($N174)&gt;='Configurações'!$B$3),"URGENTE",IF(OR($P174="MÉDIO",'Configurações'!$B$5-$R174&gt;'Configurações'!$B$4),"ALTA","NORMAL")))))</f>
        <v/>
      </c>
      <c r="R174" s="23" t="n"/>
      <c r="S174" s="25">
        <f>IF(COUNTA($A174:$B174,$E174:$G174,$R174)=0,"",IF($A174="","ID AUSENTE",IF(COUNTIF($A$6:$A$305,$A174)&gt;1,"ID DUPLICADO",IF($B174="","SKU AUSENTE",IF(COUNTIF('Estoque Central'!$A$6:$A$205,$B174)=0,"SKU NÃO CADASTRADO",IF(IFERROR(VLOOKUP($B174,'Estoque Central'!$A$6:$M$205,13,FALSE),"")&lt;&gt;"OK","ESTOQUE CENTRAL COM PENDÊNCIA",IF($E174="","CANAL AUSENTE",IF(COUNTIF('Configurações'!$A$11:$A$20,$E174)=0,"CANAL NÃO CONFIGURADO",IF(IFERROR(VLOOKUP($E174,'Configurações'!$A$11:$F$20,6,FALSE),"")&lt;&gt;"OK","CANAL COM PENDÊNCIA",IF(COUNTIFS($B$6:$B$305,$B174,$E$6:$E$305,$E174)&gt;1,"SKU/CANAL DUPLICADO",IF(IFERROR(OR(NOT(ISNUMBER($F174)),$F174&lt;0,MOD($F174,1)&lt;&gt;0),TRUE),"SALDO PUBLICADO INVÁLIDO",IF(IFERROR(OR(NOT(ISNUMBER($G174)),$G174&lt;0,MOD($G174,1)&lt;&gt;0),TRUE),"PEDIDOS PENDENTES INVÁLIDOS",IF(IFERROR(OR(NOT(ISNUMBER($R174)),$R174&gt;'Configurações'!$B$5),TRUE),"DATA INVÁLIDA","OK")))))))))))))</f>
        <v/>
      </c>
    </row>
    <row r="175">
      <c r="A175" s="21" t="n"/>
      <c r="B175" s="21" t="n"/>
      <c r="C175" s="27">
        <f>IFERROR(VLOOKUP($B175,'Estoque Central'!$A$6:$M$205,2,FALSE),"")</f>
        <v/>
      </c>
      <c r="D175" s="25">
        <f>IFERROR(VLOOKUP($B175,'Estoque Central'!$A$6:$M$205,3,FALSE),"")</f>
        <v/>
      </c>
      <c r="E175" s="21" t="n"/>
      <c r="F175" s="22" t="n"/>
      <c r="G175" s="22" t="n"/>
      <c r="H175" s="25">
        <f>IFERROR(VLOOKUP($E175,'Configurações'!$A$11:$F$20,2,FALSE),"")</f>
        <v/>
      </c>
      <c r="I175" s="28">
        <f>IFERROR(VLOOKUP($E175,'Configurações'!$A$11:$F$20,3,FALSE),"")</f>
        <v/>
      </c>
      <c r="J175" s="24">
        <f>IFERROR(VLOOKUP($E175,'Configurações'!$A$11:$F$20,4,FALSE),"")</f>
        <v/>
      </c>
      <c r="K175" s="24">
        <f>IFERROR(VLOOKUP($E175,'Configurações'!$A$11:$F$20,5,FALSE),"")</f>
        <v/>
      </c>
      <c r="L175" s="24">
        <f>IFERROR(VLOOKUP($B175,'Estoque Central'!$A$6:$M$205,9,FALSE),"")</f>
        <v/>
      </c>
      <c r="M175" s="24">
        <f>IF(COUNTA($A175:$B175,$E175:$G175,$R175)=0,"",IFERROR(IF(OR($C175="",$H175=""),"",IF(OR($D175&lt;&gt;"Ativo",$H175&lt;&gt;"Sim"),0,MIN(IF($J175="",$L175,$J175),ROUNDDOWN($L175*$I175,0)))),""))</f>
        <v/>
      </c>
      <c r="N175" s="24">
        <f>IF(OR($M175="",NOT(ISNUMBER($F175))),"",$M175-$F175)</f>
        <v/>
      </c>
      <c r="O175" s="25">
        <f>IF(COUNTA($A175:$B175,$E175:$G175,$R175)=0,"",IF($S175&lt;&gt;"OK","REVISAR CADASTRO",IF($N175&gt;0,"AUMENTAR",IF($N175&lt;0,"REDUZIR","SEM AÇÃO"))))</f>
        <v/>
      </c>
      <c r="P175" s="25">
        <f>IF(COUNTA($A175:$B175,$E175:$G175,$R175)=0,"",IF($S175&lt;&gt;"OK","REVISAR",IF(OR($D175&lt;&gt;"Ativo",$H175&lt;&gt;"Sim"),IF($F175&gt;0,"ALTO","SEM EXPOSIÇÃO"),IF(OR($F175&gt;$M175,SUMIFS($F$6:$F$305,$B$6:$B$305,$B175,$S$6:$S$305,"OK")&gt;$L175),"ALTO",IF(AND($F175&gt;0,$L175&lt;=$K175),"MÉDIO","BAIXO")))))</f>
        <v/>
      </c>
      <c r="Q175" s="25">
        <f>IF(COUNTA($A175:$B175,$E175:$G175,$R175)=0,"",IF($S175&lt;&gt;"OK","REVISAR",IF($O175="SEM AÇÃO","BAIXA",IF(OR($P175="ALTO",ABS($N175)&gt;='Configurações'!$B$3),"URGENTE",IF(OR($P175="MÉDIO",'Configurações'!$B$5-$R175&gt;'Configurações'!$B$4),"ALTA","NORMAL")))))</f>
        <v/>
      </c>
      <c r="R175" s="23" t="n"/>
      <c r="S175" s="25">
        <f>IF(COUNTA($A175:$B175,$E175:$G175,$R175)=0,"",IF($A175="","ID AUSENTE",IF(COUNTIF($A$6:$A$305,$A175)&gt;1,"ID DUPLICADO",IF($B175="","SKU AUSENTE",IF(COUNTIF('Estoque Central'!$A$6:$A$205,$B175)=0,"SKU NÃO CADASTRADO",IF(IFERROR(VLOOKUP($B175,'Estoque Central'!$A$6:$M$205,13,FALSE),"")&lt;&gt;"OK","ESTOQUE CENTRAL COM PENDÊNCIA",IF($E175="","CANAL AUSENTE",IF(COUNTIF('Configurações'!$A$11:$A$20,$E175)=0,"CANAL NÃO CONFIGURADO",IF(IFERROR(VLOOKUP($E175,'Configurações'!$A$11:$F$20,6,FALSE),"")&lt;&gt;"OK","CANAL COM PENDÊNCIA",IF(COUNTIFS($B$6:$B$305,$B175,$E$6:$E$305,$E175)&gt;1,"SKU/CANAL DUPLICADO",IF(IFERROR(OR(NOT(ISNUMBER($F175)),$F175&lt;0,MOD($F175,1)&lt;&gt;0),TRUE),"SALDO PUBLICADO INVÁLIDO",IF(IFERROR(OR(NOT(ISNUMBER($G175)),$G175&lt;0,MOD($G175,1)&lt;&gt;0),TRUE),"PEDIDOS PENDENTES INVÁLIDOS",IF(IFERROR(OR(NOT(ISNUMBER($R175)),$R175&gt;'Configurações'!$B$5),TRUE),"DATA INVÁLIDA","OK")))))))))))))</f>
        <v/>
      </c>
    </row>
    <row r="176">
      <c r="A176" s="21" t="n"/>
      <c r="B176" s="21" t="n"/>
      <c r="C176" s="27">
        <f>IFERROR(VLOOKUP($B176,'Estoque Central'!$A$6:$M$205,2,FALSE),"")</f>
        <v/>
      </c>
      <c r="D176" s="25">
        <f>IFERROR(VLOOKUP($B176,'Estoque Central'!$A$6:$M$205,3,FALSE),"")</f>
        <v/>
      </c>
      <c r="E176" s="21" t="n"/>
      <c r="F176" s="22" t="n"/>
      <c r="G176" s="22" t="n"/>
      <c r="H176" s="25">
        <f>IFERROR(VLOOKUP($E176,'Configurações'!$A$11:$F$20,2,FALSE),"")</f>
        <v/>
      </c>
      <c r="I176" s="28">
        <f>IFERROR(VLOOKUP($E176,'Configurações'!$A$11:$F$20,3,FALSE),"")</f>
        <v/>
      </c>
      <c r="J176" s="24">
        <f>IFERROR(VLOOKUP($E176,'Configurações'!$A$11:$F$20,4,FALSE),"")</f>
        <v/>
      </c>
      <c r="K176" s="24">
        <f>IFERROR(VLOOKUP($E176,'Configurações'!$A$11:$F$20,5,FALSE),"")</f>
        <v/>
      </c>
      <c r="L176" s="24">
        <f>IFERROR(VLOOKUP($B176,'Estoque Central'!$A$6:$M$205,9,FALSE),"")</f>
        <v/>
      </c>
      <c r="M176" s="24">
        <f>IF(COUNTA($A176:$B176,$E176:$G176,$R176)=0,"",IFERROR(IF(OR($C176="",$H176=""),"",IF(OR($D176&lt;&gt;"Ativo",$H176&lt;&gt;"Sim"),0,MIN(IF($J176="",$L176,$J176),ROUNDDOWN($L176*$I176,0)))),""))</f>
        <v/>
      </c>
      <c r="N176" s="24">
        <f>IF(OR($M176="",NOT(ISNUMBER($F176))),"",$M176-$F176)</f>
        <v/>
      </c>
      <c r="O176" s="25">
        <f>IF(COUNTA($A176:$B176,$E176:$G176,$R176)=0,"",IF($S176&lt;&gt;"OK","REVISAR CADASTRO",IF($N176&gt;0,"AUMENTAR",IF($N176&lt;0,"REDUZIR","SEM AÇÃO"))))</f>
        <v/>
      </c>
      <c r="P176" s="25">
        <f>IF(COUNTA($A176:$B176,$E176:$G176,$R176)=0,"",IF($S176&lt;&gt;"OK","REVISAR",IF(OR($D176&lt;&gt;"Ativo",$H176&lt;&gt;"Sim"),IF($F176&gt;0,"ALTO","SEM EXPOSIÇÃO"),IF(OR($F176&gt;$M176,SUMIFS($F$6:$F$305,$B$6:$B$305,$B176,$S$6:$S$305,"OK")&gt;$L176),"ALTO",IF(AND($F176&gt;0,$L176&lt;=$K176),"MÉDIO","BAIXO")))))</f>
        <v/>
      </c>
      <c r="Q176" s="25">
        <f>IF(COUNTA($A176:$B176,$E176:$G176,$R176)=0,"",IF($S176&lt;&gt;"OK","REVISAR",IF($O176="SEM AÇÃO","BAIXA",IF(OR($P176="ALTO",ABS($N176)&gt;='Configurações'!$B$3),"URGENTE",IF(OR($P176="MÉDIO",'Configurações'!$B$5-$R176&gt;'Configurações'!$B$4),"ALTA","NORMAL")))))</f>
        <v/>
      </c>
      <c r="R176" s="23" t="n"/>
      <c r="S176" s="25">
        <f>IF(COUNTA($A176:$B176,$E176:$G176,$R176)=0,"",IF($A176="","ID AUSENTE",IF(COUNTIF($A$6:$A$305,$A176)&gt;1,"ID DUPLICADO",IF($B176="","SKU AUSENTE",IF(COUNTIF('Estoque Central'!$A$6:$A$205,$B176)=0,"SKU NÃO CADASTRADO",IF(IFERROR(VLOOKUP($B176,'Estoque Central'!$A$6:$M$205,13,FALSE),"")&lt;&gt;"OK","ESTOQUE CENTRAL COM PENDÊNCIA",IF($E176="","CANAL AUSENTE",IF(COUNTIF('Configurações'!$A$11:$A$20,$E176)=0,"CANAL NÃO CONFIGURADO",IF(IFERROR(VLOOKUP($E176,'Configurações'!$A$11:$F$20,6,FALSE),"")&lt;&gt;"OK","CANAL COM PENDÊNCIA",IF(COUNTIFS($B$6:$B$305,$B176,$E$6:$E$305,$E176)&gt;1,"SKU/CANAL DUPLICADO",IF(IFERROR(OR(NOT(ISNUMBER($F176)),$F176&lt;0,MOD($F176,1)&lt;&gt;0),TRUE),"SALDO PUBLICADO INVÁLIDO",IF(IFERROR(OR(NOT(ISNUMBER($G176)),$G176&lt;0,MOD($G176,1)&lt;&gt;0),TRUE),"PEDIDOS PENDENTES INVÁLIDOS",IF(IFERROR(OR(NOT(ISNUMBER($R176)),$R176&gt;'Configurações'!$B$5),TRUE),"DATA INVÁLIDA","OK")))))))))))))</f>
        <v/>
      </c>
    </row>
    <row r="177">
      <c r="A177" s="21" t="n"/>
      <c r="B177" s="21" t="n"/>
      <c r="C177" s="27">
        <f>IFERROR(VLOOKUP($B177,'Estoque Central'!$A$6:$M$205,2,FALSE),"")</f>
        <v/>
      </c>
      <c r="D177" s="25">
        <f>IFERROR(VLOOKUP($B177,'Estoque Central'!$A$6:$M$205,3,FALSE),"")</f>
        <v/>
      </c>
      <c r="E177" s="21" t="n"/>
      <c r="F177" s="22" t="n"/>
      <c r="G177" s="22" t="n"/>
      <c r="H177" s="25">
        <f>IFERROR(VLOOKUP($E177,'Configurações'!$A$11:$F$20,2,FALSE),"")</f>
        <v/>
      </c>
      <c r="I177" s="28">
        <f>IFERROR(VLOOKUP($E177,'Configurações'!$A$11:$F$20,3,FALSE),"")</f>
        <v/>
      </c>
      <c r="J177" s="24">
        <f>IFERROR(VLOOKUP($E177,'Configurações'!$A$11:$F$20,4,FALSE),"")</f>
        <v/>
      </c>
      <c r="K177" s="24">
        <f>IFERROR(VLOOKUP($E177,'Configurações'!$A$11:$F$20,5,FALSE),"")</f>
        <v/>
      </c>
      <c r="L177" s="24">
        <f>IFERROR(VLOOKUP($B177,'Estoque Central'!$A$6:$M$205,9,FALSE),"")</f>
        <v/>
      </c>
      <c r="M177" s="24">
        <f>IF(COUNTA($A177:$B177,$E177:$G177,$R177)=0,"",IFERROR(IF(OR($C177="",$H177=""),"",IF(OR($D177&lt;&gt;"Ativo",$H177&lt;&gt;"Sim"),0,MIN(IF($J177="",$L177,$J177),ROUNDDOWN($L177*$I177,0)))),""))</f>
        <v/>
      </c>
      <c r="N177" s="24">
        <f>IF(OR($M177="",NOT(ISNUMBER($F177))),"",$M177-$F177)</f>
        <v/>
      </c>
      <c r="O177" s="25">
        <f>IF(COUNTA($A177:$B177,$E177:$G177,$R177)=0,"",IF($S177&lt;&gt;"OK","REVISAR CADASTRO",IF($N177&gt;0,"AUMENTAR",IF($N177&lt;0,"REDUZIR","SEM AÇÃO"))))</f>
        <v/>
      </c>
      <c r="P177" s="25">
        <f>IF(COUNTA($A177:$B177,$E177:$G177,$R177)=0,"",IF($S177&lt;&gt;"OK","REVISAR",IF(OR($D177&lt;&gt;"Ativo",$H177&lt;&gt;"Sim"),IF($F177&gt;0,"ALTO","SEM EXPOSIÇÃO"),IF(OR($F177&gt;$M177,SUMIFS($F$6:$F$305,$B$6:$B$305,$B177,$S$6:$S$305,"OK")&gt;$L177),"ALTO",IF(AND($F177&gt;0,$L177&lt;=$K177),"MÉDIO","BAIXO")))))</f>
        <v/>
      </c>
      <c r="Q177" s="25">
        <f>IF(COUNTA($A177:$B177,$E177:$G177,$R177)=0,"",IF($S177&lt;&gt;"OK","REVISAR",IF($O177="SEM AÇÃO","BAIXA",IF(OR($P177="ALTO",ABS($N177)&gt;='Configurações'!$B$3),"URGENTE",IF(OR($P177="MÉDIO",'Configurações'!$B$5-$R177&gt;'Configurações'!$B$4),"ALTA","NORMAL")))))</f>
        <v/>
      </c>
      <c r="R177" s="23" t="n"/>
      <c r="S177" s="25">
        <f>IF(COUNTA($A177:$B177,$E177:$G177,$R177)=0,"",IF($A177="","ID AUSENTE",IF(COUNTIF($A$6:$A$305,$A177)&gt;1,"ID DUPLICADO",IF($B177="","SKU AUSENTE",IF(COUNTIF('Estoque Central'!$A$6:$A$205,$B177)=0,"SKU NÃO CADASTRADO",IF(IFERROR(VLOOKUP($B177,'Estoque Central'!$A$6:$M$205,13,FALSE),"")&lt;&gt;"OK","ESTOQUE CENTRAL COM PENDÊNCIA",IF($E177="","CANAL AUSENTE",IF(COUNTIF('Configurações'!$A$11:$A$20,$E177)=0,"CANAL NÃO CONFIGURADO",IF(IFERROR(VLOOKUP($E177,'Configurações'!$A$11:$F$20,6,FALSE),"")&lt;&gt;"OK","CANAL COM PENDÊNCIA",IF(COUNTIFS($B$6:$B$305,$B177,$E$6:$E$305,$E177)&gt;1,"SKU/CANAL DUPLICADO",IF(IFERROR(OR(NOT(ISNUMBER($F177)),$F177&lt;0,MOD($F177,1)&lt;&gt;0),TRUE),"SALDO PUBLICADO INVÁLIDO",IF(IFERROR(OR(NOT(ISNUMBER($G177)),$G177&lt;0,MOD($G177,1)&lt;&gt;0),TRUE),"PEDIDOS PENDENTES INVÁLIDOS",IF(IFERROR(OR(NOT(ISNUMBER($R177)),$R177&gt;'Configurações'!$B$5),TRUE),"DATA INVÁLIDA","OK")))))))))))))</f>
        <v/>
      </c>
    </row>
    <row r="178">
      <c r="A178" s="21" t="n"/>
      <c r="B178" s="21" t="n"/>
      <c r="C178" s="27">
        <f>IFERROR(VLOOKUP($B178,'Estoque Central'!$A$6:$M$205,2,FALSE),"")</f>
        <v/>
      </c>
      <c r="D178" s="25">
        <f>IFERROR(VLOOKUP($B178,'Estoque Central'!$A$6:$M$205,3,FALSE),"")</f>
        <v/>
      </c>
      <c r="E178" s="21" t="n"/>
      <c r="F178" s="22" t="n"/>
      <c r="G178" s="22" t="n"/>
      <c r="H178" s="25">
        <f>IFERROR(VLOOKUP($E178,'Configurações'!$A$11:$F$20,2,FALSE),"")</f>
        <v/>
      </c>
      <c r="I178" s="28">
        <f>IFERROR(VLOOKUP($E178,'Configurações'!$A$11:$F$20,3,FALSE),"")</f>
        <v/>
      </c>
      <c r="J178" s="24">
        <f>IFERROR(VLOOKUP($E178,'Configurações'!$A$11:$F$20,4,FALSE),"")</f>
        <v/>
      </c>
      <c r="K178" s="24">
        <f>IFERROR(VLOOKUP($E178,'Configurações'!$A$11:$F$20,5,FALSE),"")</f>
        <v/>
      </c>
      <c r="L178" s="24">
        <f>IFERROR(VLOOKUP($B178,'Estoque Central'!$A$6:$M$205,9,FALSE),"")</f>
        <v/>
      </c>
      <c r="M178" s="24">
        <f>IF(COUNTA($A178:$B178,$E178:$G178,$R178)=0,"",IFERROR(IF(OR($C178="",$H178=""),"",IF(OR($D178&lt;&gt;"Ativo",$H178&lt;&gt;"Sim"),0,MIN(IF($J178="",$L178,$J178),ROUNDDOWN($L178*$I178,0)))),""))</f>
        <v/>
      </c>
      <c r="N178" s="24">
        <f>IF(OR($M178="",NOT(ISNUMBER($F178))),"",$M178-$F178)</f>
        <v/>
      </c>
      <c r="O178" s="25">
        <f>IF(COUNTA($A178:$B178,$E178:$G178,$R178)=0,"",IF($S178&lt;&gt;"OK","REVISAR CADASTRO",IF($N178&gt;0,"AUMENTAR",IF($N178&lt;0,"REDUZIR","SEM AÇÃO"))))</f>
        <v/>
      </c>
      <c r="P178" s="25">
        <f>IF(COUNTA($A178:$B178,$E178:$G178,$R178)=0,"",IF($S178&lt;&gt;"OK","REVISAR",IF(OR($D178&lt;&gt;"Ativo",$H178&lt;&gt;"Sim"),IF($F178&gt;0,"ALTO","SEM EXPOSIÇÃO"),IF(OR($F178&gt;$M178,SUMIFS($F$6:$F$305,$B$6:$B$305,$B178,$S$6:$S$305,"OK")&gt;$L178),"ALTO",IF(AND($F178&gt;0,$L178&lt;=$K178),"MÉDIO","BAIXO")))))</f>
        <v/>
      </c>
      <c r="Q178" s="25">
        <f>IF(COUNTA($A178:$B178,$E178:$G178,$R178)=0,"",IF($S178&lt;&gt;"OK","REVISAR",IF($O178="SEM AÇÃO","BAIXA",IF(OR($P178="ALTO",ABS($N178)&gt;='Configurações'!$B$3),"URGENTE",IF(OR($P178="MÉDIO",'Configurações'!$B$5-$R178&gt;'Configurações'!$B$4),"ALTA","NORMAL")))))</f>
        <v/>
      </c>
      <c r="R178" s="23" t="n"/>
      <c r="S178" s="25">
        <f>IF(COUNTA($A178:$B178,$E178:$G178,$R178)=0,"",IF($A178="","ID AUSENTE",IF(COUNTIF($A$6:$A$305,$A178)&gt;1,"ID DUPLICADO",IF($B178="","SKU AUSENTE",IF(COUNTIF('Estoque Central'!$A$6:$A$205,$B178)=0,"SKU NÃO CADASTRADO",IF(IFERROR(VLOOKUP($B178,'Estoque Central'!$A$6:$M$205,13,FALSE),"")&lt;&gt;"OK","ESTOQUE CENTRAL COM PENDÊNCIA",IF($E178="","CANAL AUSENTE",IF(COUNTIF('Configurações'!$A$11:$A$20,$E178)=0,"CANAL NÃO CONFIGURADO",IF(IFERROR(VLOOKUP($E178,'Configurações'!$A$11:$F$20,6,FALSE),"")&lt;&gt;"OK","CANAL COM PENDÊNCIA",IF(COUNTIFS($B$6:$B$305,$B178,$E$6:$E$305,$E178)&gt;1,"SKU/CANAL DUPLICADO",IF(IFERROR(OR(NOT(ISNUMBER($F178)),$F178&lt;0,MOD($F178,1)&lt;&gt;0),TRUE),"SALDO PUBLICADO INVÁLIDO",IF(IFERROR(OR(NOT(ISNUMBER($G178)),$G178&lt;0,MOD($G178,1)&lt;&gt;0),TRUE),"PEDIDOS PENDENTES INVÁLIDOS",IF(IFERROR(OR(NOT(ISNUMBER($R178)),$R178&gt;'Configurações'!$B$5),TRUE),"DATA INVÁLIDA","OK")))))))))))))</f>
        <v/>
      </c>
    </row>
    <row r="179">
      <c r="A179" s="21" t="n"/>
      <c r="B179" s="21" t="n"/>
      <c r="C179" s="27">
        <f>IFERROR(VLOOKUP($B179,'Estoque Central'!$A$6:$M$205,2,FALSE),"")</f>
        <v/>
      </c>
      <c r="D179" s="25">
        <f>IFERROR(VLOOKUP($B179,'Estoque Central'!$A$6:$M$205,3,FALSE),"")</f>
        <v/>
      </c>
      <c r="E179" s="21" t="n"/>
      <c r="F179" s="22" t="n"/>
      <c r="G179" s="22" t="n"/>
      <c r="H179" s="25">
        <f>IFERROR(VLOOKUP($E179,'Configurações'!$A$11:$F$20,2,FALSE),"")</f>
        <v/>
      </c>
      <c r="I179" s="28">
        <f>IFERROR(VLOOKUP($E179,'Configurações'!$A$11:$F$20,3,FALSE),"")</f>
        <v/>
      </c>
      <c r="J179" s="24">
        <f>IFERROR(VLOOKUP($E179,'Configurações'!$A$11:$F$20,4,FALSE),"")</f>
        <v/>
      </c>
      <c r="K179" s="24">
        <f>IFERROR(VLOOKUP($E179,'Configurações'!$A$11:$F$20,5,FALSE),"")</f>
        <v/>
      </c>
      <c r="L179" s="24">
        <f>IFERROR(VLOOKUP($B179,'Estoque Central'!$A$6:$M$205,9,FALSE),"")</f>
        <v/>
      </c>
      <c r="M179" s="24">
        <f>IF(COUNTA($A179:$B179,$E179:$G179,$R179)=0,"",IFERROR(IF(OR($C179="",$H179=""),"",IF(OR($D179&lt;&gt;"Ativo",$H179&lt;&gt;"Sim"),0,MIN(IF($J179="",$L179,$J179),ROUNDDOWN($L179*$I179,0)))),""))</f>
        <v/>
      </c>
      <c r="N179" s="24">
        <f>IF(OR($M179="",NOT(ISNUMBER($F179))),"",$M179-$F179)</f>
        <v/>
      </c>
      <c r="O179" s="25">
        <f>IF(COUNTA($A179:$B179,$E179:$G179,$R179)=0,"",IF($S179&lt;&gt;"OK","REVISAR CADASTRO",IF($N179&gt;0,"AUMENTAR",IF($N179&lt;0,"REDUZIR","SEM AÇÃO"))))</f>
        <v/>
      </c>
      <c r="P179" s="25">
        <f>IF(COUNTA($A179:$B179,$E179:$G179,$R179)=0,"",IF($S179&lt;&gt;"OK","REVISAR",IF(OR($D179&lt;&gt;"Ativo",$H179&lt;&gt;"Sim"),IF($F179&gt;0,"ALTO","SEM EXPOSIÇÃO"),IF(OR($F179&gt;$M179,SUMIFS($F$6:$F$305,$B$6:$B$305,$B179,$S$6:$S$305,"OK")&gt;$L179),"ALTO",IF(AND($F179&gt;0,$L179&lt;=$K179),"MÉDIO","BAIXO")))))</f>
        <v/>
      </c>
      <c r="Q179" s="25">
        <f>IF(COUNTA($A179:$B179,$E179:$G179,$R179)=0,"",IF($S179&lt;&gt;"OK","REVISAR",IF($O179="SEM AÇÃO","BAIXA",IF(OR($P179="ALTO",ABS($N179)&gt;='Configurações'!$B$3),"URGENTE",IF(OR($P179="MÉDIO",'Configurações'!$B$5-$R179&gt;'Configurações'!$B$4),"ALTA","NORMAL")))))</f>
        <v/>
      </c>
      <c r="R179" s="23" t="n"/>
      <c r="S179" s="25">
        <f>IF(COUNTA($A179:$B179,$E179:$G179,$R179)=0,"",IF($A179="","ID AUSENTE",IF(COUNTIF($A$6:$A$305,$A179)&gt;1,"ID DUPLICADO",IF($B179="","SKU AUSENTE",IF(COUNTIF('Estoque Central'!$A$6:$A$205,$B179)=0,"SKU NÃO CADASTRADO",IF(IFERROR(VLOOKUP($B179,'Estoque Central'!$A$6:$M$205,13,FALSE),"")&lt;&gt;"OK","ESTOQUE CENTRAL COM PENDÊNCIA",IF($E179="","CANAL AUSENTE",IF(COUNTIF('Configurações'!$A$11:$A$20,$E179)=0,"CANAL NÃO CONFIGURADO",IF(IFERROR(VLOOKUP($E179,'Configurações'!$A$11:$F$20,6,FALSE),"")&lt;&gt;"OK","CANAL COM PENDÊNCIA",IF(COUNTIFS($B$6:$B$305,$B179,$E$6:$E$305,$E179)&gt;1,"SKU/CANAL DUPLICADO",IF(IFERROR(OR(NOT(ISNUMBER($F179)),$F179&lt;0,MOD($F179,1)&lt;&gt;0),TRUE),"SALDO PUBLICADO INVÁLIDO",IF(IFERROR(OR(NOT(ISNUMBER($G179)),$G179&lt;0,MOD($G179,1)&lt;&gt;0),TRUE),"PEDIDOS PENDENTES INVÁLIDOS",IF(IFERROR(OR(NOT(ISNUMBER($R179)),$R179&gt;'Configurações'!$B$5),TRUE),"DATA INVÁLIDA","OK")))))))))))))</f>
        <v/>
      </c>
    </row>
    <row r="180">
      <c r="A180" s="21" t="n"/>
      <c r="B180" s="21" t="n"/>
      <c r="C180" s="27">
        <f>IFERROR(VLOOKUP($B180,'Estoque Central'!$A$6:$M$205,2,FALSE),"")</f>
        <v/>
      </c>
      <c r="D180" s="25">
        <f>IFERROR(VLOOKUP($B180,'Estoque Central'!$A$6:$M$205,3,FALSE),"")</f>
        <v/>
      </c>
      <c r="E180" s="21" t="n"/>
      <c r="F180" s="22" t="n"/>
      <c r="G180" s="22" t="n"/>
      <c r="H180" s="25">
        <f>IFERROR(VLOOKUP($E180,'Configurações'!$A$11:$F$20,2,FALSE),"")</f>
        <v/>
      </c>
      <c r="I180" s="28">
        <f>IFERROR(VLOOKUP($E180,'Configurações'!$A$11:$F$20,3,FALSE),"")</f>
        <v/>
      </c>
      <c r="J180" s="24">
        <f>IFERROR(VLOOKUP($E180,'Configurações'!$A$11:$F$20,4,FALSE),"")</f>
        <v/>
      </c>
      <c r="K180" s="24">
        <f>IFERROR(VLOOKUP($E180,'Configurações'!$A$11:$F$20,5,FALSE),"")</f>
        <v/>
      </c>
      <c r="L180" s="24">
        <f>IFERROR(VLOOKUP($B180,'Estoque Central'!$A$6:$M$205,9,FALSE),"")</f>
        <v/>
      </c>
      <c r="M180" s="24">
        <f>IF(COUNTA($A180:$B180,$E180:$G180,$R180)=0,"",IFERROR(IF(OR($C180="",$H180=""),"",IF(OR($D180&lt;&gt;"Ativo",$H180&lt;&gt;"Sim"),0,MIN(IF($J180="",$L180,$J180),ROUNDDOWN($L180*$I180,0)))),""))</f>
        <v/>
      </c>
      <c r="N180" s="24">
        <f>IF(OR($M180="",NOT(ISNUMBER($F180))),"",$M180-$F180)</f>
        <v/>
      </c>
      <c r="O180" s="25">
        <f>IF(COUNTA($A180:$B180,$E180:$G180,$R180)=0,"",IF($S180&lt;&gt;"OK","REVISAR CADASTRO",IF($N180&gt;0,"AUMENTAR",IF($N180&lt;0,"REDUZIR","SEM AÇÃO"))))</f>
        <v/>
      </c>
      <c r="P180" s="25">
        <f>IF(COUNTA($A180:$B180,$E180:$G180,$R180)=0,"",IF($S180&lt;&gt;"OK","REVISAR",IF(OR($D180&lt;&gt;"Ativo",$H180&lt;&gt;"Sim"),IF($F180&gt;0,"ALTO","SEM EXPOSIÇÃO"),IF(OR($F180&gt;$M180,SUMIFS($F$6:$F$305,$B$6:$B$305,$B180,$S$6:$S$305,"OK")&gt;$L180),"ALTO",IF(AND($F180&gt;0,$L180&lt;=$K180),"MÉDIO","BAIXO")))))</f>
        <v/>
      </c>
      <c r="Q180" s="25">
        <f>IF(COUNTA($A180:$B180,$E180:$G180,$R180)=0,"",IF($S180&lt;&gt;"OK","REVISAR",IF($O180="SEM AÇÃO","BAIXA",IF(OR($P180="ALTO",ABS($N180)&gt;='Configurações'!$B$3),"URGENTE",IF(OR($P180="MÉDIO",'Configurações'!$B$5-$R180&gt;'Configurações'!$B$4),"ALTA","NORMAL")))))</f>
        <v/>
      </c>
      <c r="R180" s="23" t="n"/>
      <c r="S180" s="25">
        <f>IF(COUNTA($A180:$B180,$E180:$G180,$R180)=0,"",IF($A180="","ID AUSENTE",IF(COUNTIF($A$6:$A$305,$A180)&gt;1,"ID DUPLICADO",IF($B180="","SKU AUSENTE",IF(COUNTIF('Estoque Central'!$A$6:$A$205,$B180)=0,"SKU NÃO CADASTRADO",IF(IFERROR(VLOOKUP($B180,'Estoque Central'!$A$6:$M$205,13,FALSE),"")&lt;&gt;"OK","ESTOQUE CENTRAL COM PENDÊNCIA",IF($E180="","CANAL AUSENTE",IF(COUNTIF('Configurações'!$A$11:$A$20,$E180)=0,"CANAL NÃO CONFIGURADO",IF(IFERROR(VLOOKUP($E180,'Configurações'!$A$11:$F$20,6,FALSE),"")&lt;&gt;"OK","CANAL COM PENDÊNCIA",IF(COUNTIFS($B$6:$B$305,$B180,$E$6:$E$305,$E180)&gt;1,"SKU/CANAL DUPLICADO",IF(IFERROR(OR(NOT(ISNUMBER($F180)),$F180&lt;0,MOD($F180,1)&lt;&gt;0),TRUE),"SALDO PUBLICADO INVÁLIDO",IF(IFERROR(OR(NOT(ISNUMBER($G180)),$G180&lt;0,MOD($G180,1)&lt;&gt;0),TRUE),"PEDIDOS PENDENTES INVÁLIDOS",IF(IFERROR(OR(NOT(ISNUMBER($R180)),$R180&gt;'Configurações'!$B$5),TRUE),"DATA INVÁLIDA","OK")))))))))))))</f>
        <v/>
      </c>
    </row>
    <row r="181">
      <c r="A181" s="21" t="n"/>
      <c r="B181" s="21" t="n"/>
      <c r="C181" s="27">
        <f>IFERROR(VLOOKUP($B181,'Estoque Central'!$A$6:$M$205,2,FALSE),"")</f>
        <v/>
      </c>
      <c r="D181" s="25">
        <f>IFERROR(VLOOKUP($B181,'Estoque Central'!$A$6:$M$205,3,FALSE),"")</f>
        <v/>
      </c>
      <c r="E181" s="21" t="n"/>
      <c r="F181" s="22" t="n"/>
      <c r="G181" s="22" t="n"/>
      <c r="H181" s="25">
        <f>IFERROR(VLOOKUP($E181,'Configurações'!$A$11:$F$20,2,FALSE),"")</f>
        <v/>
      </c>
      <c r="I181" s="28">
        <f>IFERROR(VLOOKUP($E181,'Configurações'!$A$11:$F$20,3,FALSE),"")</f>
        <v/>
      </c>
      <c r="J181" s="24">
        <f>IFERROR(VLOOKUP($E181,'Configurações'!$A$11:$F$20,4,FALSE),"")</f>
        <v/>
      </c>
      <c r="K181" s="24">
        <f>IFERROR(VLOOKUP($E181,'Configurações'!$A$11:$F$20,5,FALSE),"")</f>
        <v/>
      </c>
      <c r="L181" s="24">
        <f>IFERROR(VLOOKUP($B181,'Estoque Central'!$A$6:$M$205,9,FALSE),"")</f>
        <v/>
      </c>
      <c r="M181" s="24">
        <f>IF(COUNTA($A181:$B181,$E181:$G181,$R181)=0,"",IFERROR(IF(OR($C181="",$H181=""),"",IF(OR($D181&lt;&gt;"Ativo",$H181&lt;&gt;"Sim"),0,MIN(IF($J181="",$L181,$J181),ROUNDDOWN($L181*$I181,0)))),""))</f>
        <v/>
      </c>
      <c r="N181" s="24">
        <f>IF(OR($M181="",NOT(ISNUMBER($F181))),"",$M181-$F181)</f>
        <v/>
      </c>
      <c r="O181" s="25">
        <f>IF(COUNTA($A181:$B181,$E181:$G181,$R181)=0,"",IF($S181&lt;&gt;"OK","REVISAR CADASTRO",IF($N181&gt;0,"AUMENTAR",IF($N181&lt;0,"REDUZIR","SEM AÇÃO"))))</f>
        <v/>
      </c>
      <c r="P181" s="25">
        <f>IF(COUNTA($A181:$B181,$E181:$G181,$R181)=0,"",IF($S181&lt;&gt;"OK","REVISAR",IF(OR($D181&lt;&gt;"Ativo",$H181&lt;&gt;"Sim"),IF($F181&gt;0,"ALTO","SEM EXPOSIÇÃO"),IF(OR($F181&gt;$M181,SUMIFS($F$6:$F$305,$B$6:$B$305,$B181,$S$6:$S$305,"OK")&gt;$L181),"ALTO",IF(AND($F181&gt;0,$L181&lt;=$K181),"MÉDIO","BAIXO")))))</f>
        <v/>
      </c>
      <c r="Q181" s="25">
        <f>IF(COUNTA($A181:$B181,$E181:$G181,$R181)=0,"",IF($S181&lt;&gt;"OK","REVISAR",IF($O181="SEM AÇÃO","BAIXA",IF(OR($P181="ALTO",ABS($N181)&gt;='Configurações'!$B$3),"URGENTE",IF(OR($P181="MÉDIO",'Configurações'!$B$5-$R181&gt;'Configurações'!$B$4),"ALTA","NORMAL")))))</f>
        <v/>
      </c>
      <c r="R181" s="23" t="n"/>
      <c r="S181" s="25">
        <f>IF(COUNTA($A181:$B181,$E181:$G181,$R181)=0,"",IF($A181="","ID AUSENTE",IF(COUNTIF($A$6:$A$305,$A181)&gt;1,"ID DUPLICADO",IF($B181="","SKU AUSENTE",IF(COUNTIF('Estoque Central'!$A$6:$A$205,$B181)=0,"SKU NÃO CADASTRADO",IF(IFERROR(VLOOKUP($B181,'Estoque Central'!$A$6:$M$205,13,FALSE),"")&lt;&gt;"OK","ESTOQUE CENTRAL COM PENDÊNCIA",IF($E181="","CANAL AUSENTE",IF(COUNTIF('Configurações'!$A$11:$A$20,$E181)=0,"CANAL NÃO CONFIGURADO",IF(IFERROR(VLOOKUP($E181,'Configurações'!$A$11:$F$20,6,FALSE),"")&lt;&gt;"OK","CANAL COM PENDÊNCIA",IF(COUNTIFS($B$6:$B$305,$B181,$E$6:$E$305,$E181)&gt;1,"SKU/CANAL DUPLICADO",IF(IFERROR(OR(NOT(ISNUMBER($F181)),$F181&lt;0,MOD($F181,1)&lt;&gt;0),TRUE),"SALDO PUBLICADO INVÁLIDO",IF(IFERROR(OR(NOT(ISNUMBER($G181)),$G181&lt;0,MOD($G181,1)&lt;&gt;0),TRUE),"PEDIDOS PENDENTES INVÁLIDOS",IF(IFERROR(OR(NOT(ISNUMBER($R181)),$R181&gt;'Configurações'!$B$5),TRUE),"DATA INVÁLIDA","OK")))))))))))))</f>
        <v/>
      </c>
    </row>
    <row r="182">
      <c r="A182" s="21" t="n"/>
      <c r="B182" s="21" t="n"/>
      <c r="C182" s="27">
        <f>IFERROR(VLOOKUP($B182,'Estoque Central'!$A$6:$M$205,2,FALSE),"")</f>
        <v/>
      </c>
      <c r="D182" s="25">
        <f>IFERROR(VLOOKUP($B182,'Estoque Central'!$A$6:$M$205,3,FALSE),"")</f>
        <v/>
      </c>
      <c r="E182" s="21" t="n"/>
      <c r="F182" s="22" t="n"/>
      <c r="G182" s="22" t="n"/>
      <c r="H182" s="25">
        <f>IFERROR(VLOOKUP($E182,'Configurações'!$A$11:$F$20,2,FALSE),"")</f>
        <v/>
      </c>
      <c r="I182" s="28">
        <f>IFERROR(VLOOKUP($E182,'Configurações'!$A$11:$F$20,3,FALSE),"")</f>
        <v/>
      </c>
      <c r="J182" s="24">
        <f>IFERROR(VLOOKUP($E182,'Configurações'!$A$11:$F$20,4,FALSE),"")</f>
        <v/>
      </c>
      <c r="K182" s="24">
        <f>IFERROR(VLOOKUP($E182,'Configurações'!$A$11:$F$20,5,FALSE),"")</f>
        <v/>
      </c>
      <c r="L182" s="24">
        <f>IFERROR(VLOOKUP($B182,'Estoque Central'!$A$6:$M$205,9,FALSE),"")</f>
        <v/>
      </c>
      <c r="M182" s="24">
        <f>IF(COUNTA($A182:$B182,$E182:$G182,$R182)=0,"",IFERROR(IF(OR($C182="",$H182=""),"",IF(OR($D182&lt;&gt;"Ativo",$H182&lt;&gt;"Sim"),0,MIN(IF($J182="",$L182,$J182),ROUNDDOWN($L182*$I182,0)))),""))</f>
        <v/>
      </c>
      <c r="N182" s="24">
        <f>IF(OR($M182="",NOT(ISNUMBER($F182))),"",$M182-$F182)</f>
        <v/>
      </c>
      <c r="O182" s="25">
        <f>IF(COUNTA($A182:$B182,$E182:$G182,$R182)=0,"",IF($S182&lt;&gt;"OK","REVISAR CADASTRO",IF($N182&gt;0,"AUMENTAR",IF($N182&lt;0,"REDUZIR","SEM AÇÃO"))))</f>
        <v/>
      </c>
      <c r="P182" s="25">
        <f>IF(COUNTA($A182:$B182,$E182:$G182,$R182)=0,"",IF($S182&lt;&gt;"OK","REVISAR",IF(OR($D182&lt;&gt;"Ativo",$H182&lt;&gt;"Sim"),IF($F182&gt;0,"ALTO","SEM EXPOSIÇÃO"),IF(OR($F182&gt;$M182,SUMIFS($F$6:$F$305,$B$6:$B$305,$B182,$S$6:$S$305,"OK")&gt;$L182),"ALTO",IF(AND($F182&gt;0,$L182&lt;=$K182),"MÉDIO","BAIXO")))))</f>
        <v/>
      </c>
      <c r="Q182" s="25">
        <f>IF(COUNTA($A182:$B182,$E182:$G182,$R182)=0,"",IF($S182&lt;&gt;"OK","REVISAR",IF($O182="SEM AÇÃO","BAIXA",IF(OR($P182="ALTO",ABS($N182)&gt;='Configurações'!$B$3),"URGENTE",IF(OR($P182="MÉDIO",'Configurações'!$B$5-$R182&gt;'Configurações'!$B$4),"ALTA","NORMAL")))))</f>
        <v/>
      </c>
      <c r="R182" s="23" t="n"/>
      <c r="S182" s="25">
        <f>IF(COUNTA($A182:$B182,$E182:$G182,$R182)=0,"",IF($A182="","ID AUSENTE",IF(COUNTIF($A$6:$A$305,$A182)&gt;1,"ID DUPLICADO",IF($B182="","SKU AUSENTE",IF(COUNTIF('Estoque Central'!$A$6:$A$205,$B182)=0,"SKU NÃO CADASTRADO",IF(IFERROR(VLOOKUP($B182,'Estoque Central'!$A$6:$M$205,13,FALSE),"")&lt;&gt;"OK","ESTOQUE CENTRAL COM PENDÊNCIA",IF($E182="","CANAL AUSENTE",IF(COUNTIF('Configurações'!$A$11:$A$20,$E182)=0,"CANAL NÃO CONFIGURADO",IF(IFERROR(VLOOKUP($E182,'Configurações'!$A$11:$F$20,6,FALSE),"")&lt;&gt;"OK","CANAL COM PENDÊNCIA",IF(COUNTIFS($B$6:$B$305,$B182,$E$6:$E$305,$E182)&gt;1,"SKU/CANAL DUPLICADO",IF(IFERROR(OR(NOT(ISNUMBER($F182)),$F182&lt;0,MOD($F182,1)&lt;&gt;0),TRUE),"SALDO PUBLICADO INVÁLIDO",IF(IFERROR(OR(NOT(ISNUMBER($G182)),$G182&lt;0,MOD($G182,1)&lt;&gt;0),TRUE),"PEDIDOS PENDENTES INVÁLIDOS",IF(IFERROR(OR(NOT(ISNUMBER($R182)),$R182&gt;'Configurações'!$B$5),TRUE),"DATA INVÁLIDA","OK")))))))))))))</f>
        <v/>
      </c>
    </row>
    <row r="183">
      <c r="A183" s="21" t="n"/>
      <c r="B183" s="21" t="n"/>
      <c r="C183" s="27">
        <f>IFERROR(VLOOKUP($B183,'Estoque Central'!$A$6:$M$205,2,FALSE),"")</f>
        <v/>
      </c>
      <c r="D183" s="25">
        <f>IFERROR(VLOOKUP($B183,'Estoque Central'!$A$6:$M$205,3,FALSE),"")</f>
        <v/>
      </c>
      <c r="E183" s="21" t="n"/>
      <c r="F183" s="22" t="n"/>
      <c r="G183" s="22" t="n"/>
      <c r="H183" s="25">
        <f>IFERROR(VLOOKUP($E183,'Configurações'!$A$11:$F$20,2,FALSE),"")</f>
        <v/>
      </c>
      <c r="I183" s="28">
        <f>IFERROR(VLOOKUP($E183,'Configurações'!$A$11:$F$20,3,FALSE),"")</f>
        <v/>
      </c>
      <c r="J183" s="24">
        <f>IFERROR(VLOOKUP($E183,'Configurações'!$A$11:$F$20,4,FALSE),"")</f>
        <v/>
      </c>
      <c r="K183" s="24">
        <f>IFERROR(VLOOKUP($E183,'Configurações'!$A$11:$F$20,5,FALSE),"")</f>
        <v/>
      </c>
      <c r="L183" s="24">
        <f>IFERROR(VLOOKUP($B183,'Estoque Central'!$A$6:$M$205,9,FALSE),"")</f>
        <v/>
      </c>
      <c r="M183" s="24">
        <f>IF(COUNTA($A183:$B183,$E183:$G183,$R183)=0,"",IFERROR(IF(OR($C183="",$H183=""),"",IF(OR($D183&lt;&gt;"Ativo",$H183&lt;&gt;"Sim"),0,MIN(IF($J183="",$L183,$J183),ROUNDDOWN($L183*$I183,0)))),""))</f>
        <v/>
      </c>
      <c r="N183" s="24">
        <f>IF(OR($M183="",NOT(ISNUMBER($F183))),"",$M183-$F183)</f>
        <v/>
      </c>
      <c r="O183" s="25">
        <f>IF(COUNTA($A183:$B183,$E183:$G183,$R183)=0,"",IF($S183&lt;&gt;"OK","REVISAR CADASTRO",IF($N183&gt;0,"AUMENTAR",IF($N183&lt;0,"REDUZIR","SEM AÇÃO"))))</f>
        <v/>
      </c>
      <c r="P183" s="25">
        <f>IF(COUNTA($A183:$B183,$E183:$G183,$R183)=0,"",IF($S183&lt;&gt;"OK","REVISAR",IF(OR($D183&lt;&gt;"Ativo",$H183&lt;&gt;"Sim"),IF($F183&gt;0,"ALTO","SEM EXPOSIÇÃO"),IF(OR($F183&gt;$M183,SUMIFS($F$6:$F$305,$B$6:$B$305,$B183,$S$6:$S$305,"OK")&gt;$L183),"ALTO",IF(AND($F183&gt;0,$L183&lt;=$K183),"MÉDIO","BAIXO")))))</f>
        <v/>
      </c>
      <c r="Q183" s="25">
        <f>IF(COUNTA($A183:$B183,$E183:$G183,$R183)=0,"",IF($S183&lt;&gt;"OK","REVISAR",IF($O183="SEM AÇÃO","BAIXA",IF(OR($P183="ALTO",ABS($N183)&gt;='Configurações'!$B$3),"URGENTE",IF(OR($P183="MÉDIO",'Configurações'!$B$5-$R183&gt;'Configurações'!$B$4),"ALTA","NORMAL")))))</f>
        <v/>
      </c>
      <c r="R183" s="23" t="n"/>
      <c r="S183" s="25">
        <f>IF(COUNTA($A183:$B183,$E183:$G183,$R183)=0,"",IF($A183="","ID AUSENTE",IF(COUNTIF($A$6:$A$305,$A183)&gt;1,"ID DUPLICADO",IF($B183="","SKU AUSENTE",IF(COUNTIF('Estoque Central'!$A$6:$A$205,$B183)=0,"SKU NÃO CADASTRADO",IF(IFERROR(VLOOKUP($B183,'Estoque Central'!$A$6:$M$205,13,FALSE),"")&lt;&gt;"OK","ESTOQUE CENTRAL COM PENDÊNCIA",IF($E183="","CANAL AUSENTE",IF(COUNTIF('Configurações'!$A$11:$A$20,$E183)=0,"CANAL NÃO CONFIGURADO",IF(IFERROR(VLOOKUP($E183,'Configurações'!$A$11:$F$20,6,FALSE),"")&lt;&gt;"OK","CANAL COM PENDÊNCIA",IF(COUNTIFS($B$6:$B$305,$B183,$E$6:$E$305,$E183)&gt;1,"SKU/CANAL DUPLICADO",IF(IFERROR(OR(NOT(ISNUMBER($F183)),$F183&lt;0,MOD($F183,1)&lt;&gt;0),TRUE),"SALDO PUBLICADO INVÁLIDO",IF(IFERROR(OR(NOT(ISNUMBER($G183)),$G183&lt;0,MOD($G183,1)&lt;&gt;0),TRUE),"PEDIDOS PENDENTES INVÁLIDOS",IF(IFERROR(OR(NOT(ISNUMBER($R183)),$R183&gt;'Configurações'!$B$5),TRUE),"DATA INVÁLIDA","OK")))))))))))))</f>
        <v/>
      </c>
    </row>
    <row r="184">
      <c r="A184" s="21" t="n"/>
      <c r="B184" s="21" t="n"/>
      <c r="C184" s="27">
        <f>IFERROR(VLOOKUP($B184,'Estoque Central'!$A$6:$M$205,2,FALSE),"")</f>
        <v/>
      </c>
      <c r="D184" s="25">
        <f>IFERROR(VLOOKUP($B184,'Estoque Central'!$A$6:$M$205,3,FALSE),"")</f>
        <v/>
      </c>
      <c r="E184" s="21" t="n"/>
      <c r="F184" s="22" t="n"/>
      <c r="G184" s="22" t="n"/>
      <c r="H184" s="25">
        <f>IFERROR(VLOOKUP($E184,'Configurações'!$A$11:$F$20,2,FALSE),"")</f>
        <v/>
      </c>
      <c r="I184" s="28">
        <f>IFERROR(VLOOKUP($E184,'Configurações'!$A$11:$F$20,3,FALSE),"")</f>
        <v/>
      </c>
      <c r="J184" s="24">
        <f>IFERROR(VLOOKUP($E184,'Configurações'!$A$11:$F$20,4,FALSE),"")</f>
        <v/>
      </c>
      <c r="K184" s="24">
        <f>IFERROR(VLOOKUP($E184,'Configurações'!$A$11:$F$20,5,FALSE),"")</f>
        <v/>
      </c>
      <c r="L184" s="24">
        <f>IFERROR(VLOOKUP($B184,'Estoque Central'!$A$6:$M$205,9,FALSE),"")</f>
        <v/>
      </c>
      <c r="M184" s="24">
        <f>IF(COUNTA($A184:$B184,$E184:$G184,$R184)=0,"",IFERROR(IF(OR($C184="",$H184=""),"",IF(OR($D184&lt;&gt;"Ativo",$H184&lt;&gt;"Sim"),0,MIN(IF($J184="",$L184,$J184),ROUNDDOWN($L184*$I184,0)))),""))</f>
        <v/>
      </c>
      <c r="N184" s="24">
        <f>IF(OR($M184="",NOT(ISNUMBER($F184))),"",$M184-$F184)</f>
        <v/>
      </c>
      <c r="O184" s="25">
        <f>IF(COUNTA($A184:$B184,$E184:$G184,$R184)=0,"",IF($S184&lt;&gt;"OK","REVISAR CADASTRO",IF($N184&gt;0,"AUMENTAR",IF($N184&lt;0,"REDUZIR","SEM AÇÃO"))))</f>
        <v/>
      </c>
      <c r="P184" s="25">
        <f>IF(COUNTA($A184:$B184,$E184:$G184,$R184)=0,"",IF($S184&lt;&gt;"OK","REVISAR",IF(OR($D184&lt;&gt;"Ativo",$H184&lt;&gt;"Sim"),IF($F184&gt;0,"ALTO","SEM EXPOSIÇÃO"),IF(OR($F184&gt;$M184,SUMIFS($F$6:$F$305,$B$6:$B$305,$B184,$S$6:$S$305,"OK")&gt;$L184),"ALTO",IF(AND($F184&gt;0,$L184&lt;=$K184),"MÉDIO","BAIXO")))))</f>
        <v/>
      </c>
      <c r="Q184" s="25">
        <f>IF(COUNTA($A184:$B184,$E184:$G184,$R184)=0,"",IF($S184&lt;&gt;"OK","REVISAR",IF($O184="SEM AÇÃO","BAIXA",IF(OR($P184="ALTO",ABS($N184)&gt;='Configurações'!$B$3),"URGENTE",IF(OR($P184="MÉDIO",'Configurações'!$B$5-$R184&gt;'Configurações'!$B$4),"ALTA","NORMAL")))))</f>
        <v/>
      </c>
      <c r="R184" s="23" t="n"/>
      <c r="S184" s="25">
        <f>IF(COUNTA($A184:$B184,$E184:$G184,$R184)=0,"",IF($A184="","ID AUSENTE",IF(COUNTIF($A$6:$A$305,$A184)&gt;1,"ID DUPLICADO",IF($B184="","SKU AUSENTE",IF(COUNTIF('Estoque Central'!$A$6:$A$205,$B184)=0,"SKU NÃO CADASTRADO",IF(IFERROR(VLOOKUP($B184,'Estoque Central'!$A$6:$M$205,13,FALSE),"")&lt;&gt;"OK","ESTOQUE CENTRAL COM PENDÊNCIA",IF($E184="","CANAL AUSENTE",IF(COUNTIF('Configurações'!$A$11:$A$20,$E184)=0,"CANAL NÃO CONFIGURADO",IF(IFERROR(VLOOKUP($E184,'Configurações'!$A$11:$F$20,6,FALSE),"")&lt;&gt;"OK","CANAL COM PENDÊNCIA",IF(COUNTIFS($B$6:$B$305,$B184,$E$6:$E$305,$E184)&gt;1,"SKU/CANAL DUPLICADO",IF(IFERROR(OR(NOT(ISNUMBER($F184)),$F184&lt;0,MOD($F184,1)&lt;&gt;0),TRUE),"SALDO PUBLICADO INVÁLIDO",IF(IFERROR(OR(NOT(ISNUMBER($G184)),$G184&lt;0,MOD($G184,1)&lt;&gt;0),TRUE),"PEDIDOS PENDENTES INVÁLIDOS",IF(IFERROR(OR(NOT(ISNUMBER($R184)),$R184&gt;'Configurações'!$B$5),TRUE),"DATA INVÁLIDA","OK")))))))))))))</f>
        <v/>
      </c>
    </row>
    <row r="185">
      <c r="A185" s="21" t="n"/>
      <c r="B185" s="21" t="n"/>
      <c r="C185" s="27">
        <f>IFERROR(VLOOKUP($B185,'Estoque Central'!$A$6:$M$205,2,FALSE),"")</f>
        <v/>
      </c>
      <c r="D185" s="25">
        <f>IFERROR(VLOOKUP($B185,'Estoque Central'!$A$6:$M$205,3,FALSE),"")</f>
        <v/>
      </c>
      <c r="E185" s="21" t="n"/>
      <c r="F185" s="22" t="n"/>
      <c r="G185" s="22" t="n"/>
      <c r="H185" s="25">
        <f>IFERROR(VLOOKUP($E185,'Configurações'!$A$11:$F$20,2,FALSE),"")</f>
        <v/>
      </c>
      <c r="I185" s="28">
        <f>IFERROR(VLOOKUP($E185,'Configurações'!$A$11:$F$20,3,FALSE),"")</f>
        <v/>
      </c>
      <c r="J185" s="24">
        <f>IFERROR(VLOOKUP($E185,'Configurações'!$A$11:$F$20,4,FALSE),"")</f>
        <v/>
      </c>
      <c r="K185" s="24">
        <f>IFERROR(VLOOKUP($E185,'Configurações'!$A$11:$F$20,5,FALSE),"")</f>
        <v/>
      </c>
      <c r="L185" s="24">
        <f>IFERROR(VLOOKUP($B185,'Estoque Central'!$A$6:$M$205,9,FALSE),"")</f>
        <v/>
      </c>
      <c r="M185" s="24">
        <f>IF(COUNTA($A185:$B185,$E185:$G185,$R185)=0,"",IFERROR(IF(OR($C185="",$H185=""),"",IF(OR($D185&lt;&gt;"Ativo",$H185&lt;&gt;"Sim"),0,MIN(IF($J185="",$L185,$J185),ROUNDDOWN($L185*$I185,0)))),""))</f>
        <v/>
      </c>
      <c r="N185" s="24">
        <f>IF(OR($M185="",NOT(ISNUMBER($F185))),"",$M185-$F185)</f>
        <v/>
      </c>
      <c r="O185" s="25">
        <f>IF(COUNTA($A185:$B185,$E185:$G185,$R185)=0,"",IF($S185&lt;&gt;"OK","REVISAR CADASTRO",IF($N185&gt;0,"AUMENTAR",IF($N185&lt;0,"REDUZIR","SEM AÇÃO"))))</f>
        <v/>
      </c>
      <c r="P185" s="25">
        <f>IF(COUNTA($A185:$B185,$E185:$G185,$R185)=0,"",IF($S185&lt;&gt;"OK","REVISAR",IF(OR($D185&lt;&gt;"Ativo",$H185&lt;&gt;"Sim"),IF($F185&gt;0,"ALTO","SEM EXPOSIÇÃO"),IF(OR($F185&gt;$M185,SUMIFS($F$6:$F$305,$B$6:$B$305,$B185,$S$6:$S$305,"OK")&gt;$L185),"ALTO",IF(AND($F185&gt;0,$L185&lt;=$K185),"MÉDIO","BAIXO")))))</f>
        <v/>
      </c>
      <c r="Q185" s="25">
        <f>IF(COUNTA($A185:$B185,$E185:$G185,$R185)=0,"",IF($S185&lt;&gt;"OK","REVISAR",IF($O185="SEM AÇÃO","BAIXA",IF(OR($P185="ALTO",ABS($N185)&gt;='Configurações'!$B$3),"URGENTE",IF(OR($P185="MÉDIO",'Configurações'!$B$5-$R185&gt;'Configurações'!$B$4),"ALTA","NORMAL")))))</f>
        <v/>
      </c>
      <c r="R185" s="23" t="n"/>
      <c r="S185" s="25">
        <f>IF(COUNTA($A185:$B185,$E185:$G185,$R185)=0,"",IF($A185="","ID AUSENTE",IF(COUNTIF($A$6:$A$305,$A185)&gt;1,"ID DUPLICADO",IF($B185="","SKU AUSENTE",IF(COUNTIF('Estoque Central'!$A$6:$A$205,$B185)=0,"SKU NÃO CADASTRADO",IF(IFERROR(VLOOKUP($B185,'Estoque Central'!$A$6:$M$205,13,FALSE),"")&lt;&gt;"OK","ESTOQUE CENTRAL COM PENDÊNCIA",IF($E185="","CANAL AUSENTE",IF(COUNTIF('Configurações'!$A$11:$A$20,$E185)=0,"CANAL NÃO CONFIGURADO",IF(IFERROR(VLOOKUP($E185,'Configurações'!$A$11:$F$20,6,FALSE),"")&lt;&gt;"OK","CANAL COM PENDÊNCIA",IF(COUNTIFS($B$6:$B$305,$B185,$E$6:$E$305,$E185)&gt;1,"SKU/CANAL DUPLICADO",IF(IFERROR(OR(NOT(ISNUMBER($F185)),$F185&lt;0,MOD($F185,1)&lt;&gt;0),TRUE),"SALDO PUBLICADO INVÁLIDO",IF(IFERROR(OR(NOT(ISNUMBER($G185)),$G185&lt;0,MOD($G185,1)&lt;&gt;0),TRUE),"PEDIDOS PENDENTES INVÁLIDOS",IF(IFERROR(OR(NOT(ISNUMBER($R185)),$R185&gt;'Configurações'!$B$5),TRUE),"DATA INVÁLIDA","OK")))))))))))))</f>
        <v/>
      </c>
    </row>
    <row r="186">
      <c r="A186" s="21" t="n"/>
      <c r="B186" s="21" t="n"/>
      <c r="C186" s="27">
        <f>IFERROR(VLOOKUP($B186,'Estoque Central'!$A$6:$M$205,2,FALSE),"")</f>
        <v/>
      </c>
      <c r="D186" s="25">
        <f>IFERROR(VLOOKUP($B186,'Estoque Central'!$A$6:$M$205,3,FALSE),"")</f>
        <v/>
      </c>
      <c r="E186" s="21" t="n"/>
      <c r="F186" s="22" t="n"/>
      <c r="G186" s="22" t="n"/>
      <c r="H186" s="25">
        <f>IFERROR(VLOOKUP($E186,'Configurações'!$A$11:$F$20,2,FALSE),"")</f>
        <v/>
      </c>
      <c r="I186" s="28">
        <f>IFERROR(VLOOKUP($E186,'Configurações'!$A$11:$F$20,3,FALSE),"")</f>
        <v/>
      </c>
      <c r="J186" s="24">
        <f>IFERROR(VLOOKUP($E186,'Configurações'!$A$11:$F$20,4,FALSE),"")</f>
        <v/>
      </c>
      <c r="K186" s="24">
        <f>IFERROR(VLOOKUP($E186,'Configurações'!$A$11:$F$20,5,FALSE),"")</f>
        <v/>
      </c>
      <c r="L186" s="24">
        <f>IFERROR(VLOOKUP($B186,'Estoque Central'!$A$6:$M$205,9,FALSE),"")</f>
        <v/>
      </c>
      <c r="M186" s="24">
        <f>IF(COUNTA($A186:$B186,$E186:$G186,$R186)=0,"",IFERROR(IF(OR($C186="",$H186=""),"",IF(OR($D186&lt;&gt;"Ativo",$H186&lt;&gt;"Sim"),0,MIN(IF($J186="",$L186,$J186),ROUNDDOWN($L186*$I186,0)))),""))</f>
        <v/>
      </c>
      <c r="N186" s="24">
        <f>IF(OR($M186="",NOT(ISNUMBER($F186))),"",$M186-$F186)</f>
        <v/>
      </c>
      <c r="O186" s="25">
        <f>IF(COUNTA($A186:$B186,$E186:$G186,$R186)=0,"",IF($S186&lt;&gt;"OK","REVISAR CADASTRO",IF($N186&gt;0,"AUMENTAR",IF($N186&lt;0,"REDUZIR","SEM AÇÃO"))))</f>
        <v/>
      </c>
      <c r="P186" s="25">
        <f>IF(COUNTA($A186:$B186,$E186:$G186,$R186)=0,"",IF($S186&lt;&gt;"OK","REVISAR",IF(OR($D186&lt;&gt;"Ativo",$H186&lt;&gt;"Sim"),IF($F186&gt;0,"ALTO","SEM EXPOSIÇÃO"),IF(OR($F186&gt;$M186,SUMIFS($F$6:$F$305,$B$6:$B$305,$B186,$S$6:$S$305,"OK")&gt;$L186),"ALTO",IF(AND($F186&gt;0,$L186&lt;=$K186),"MÉDIO","BAIXO")))))</f>
        <v/>
      </c>
      <c r="Q186" s="25">
        <f>IF(COUNTA($A186:$B186,$E186:$G186,$R186)=0,"",IF($S186&lt;&gt;"OK","REVISAR",IF($O186="SEM AÇÃO","BAIXA",IF(OR($P186="ALTO",ABS($N186)&gt;='Configurações'!$B$3),"URGENTE",IF(OR($P186="MÉDIO",'Configurações'!$B$5-$R186&gt;'Configurações'!$B$4),"ALTA","NORMAL")))))</f>
        <v/>
      </c>
      <c r="R186" s="23" t="n"/>
      <c r="S186" s="25">
        <f>IF(COUNTA($A186:$B186,$E186:$G186,$R186)=0,"",IF($A186="","ID AUSENTE",IF(COUNTIF($A$6:$A$305,$A186)&gt;1,"ID DUPLICADO",IF($B186="","SKU AUSENTE",IF(COUNTIF('Estoque Central'!$A$6:$A$205,$B186)=0,"SKU NÃO CADASTRADO",IF(IFERROR(VLOOKUP($B186,'Estoque Central'!$A$6:$M$205,13,FALSE),"")&lt;&gt;"OK","ESTOQUE CENTRAL COM PENDÊNCIA",IF($E186="","CANAL AUSENTE",IF(COUNTIF('Configurações'!$A$11:$A$20,$E186)=0,"CANAL NÃO CONFIGURADO",IF(IFERROR(VLOOKUP($E186,'Configurações'!$A$11:$F$20,6,FALSE),"")&lt;&gt;"OK","CANAL COM PENDÊNCIA",IF(COUNTIFS($B$6:$B$305,$B186,$E$6:$E$305,$E186)&gt;1,"SKU/CANAL DUPLICADO",IF(IFERROR(OR(NOT(ISNUMBER($F186)),$F186&lt;0,MOD($F186,1)&lt;&gt;0),TRUE),"SALDO PUBLICADO INVÁLIDO",IF(IFERROR(OR(NOT(ISNUMBER($G186)),$G186&lt;0,MOD($G186,1)&lt;&gt;0),TRUE),"PEDIDOS PENDENTES INVÁLIDOS",IF(IFERROR(OR(NOT(ISNUMBER($R186)),$R186&gt;'Configurações'!$B$5),TRUE),"DATA INVÁLIDA","OK")))))))))))))</f>
        <v/>
      </c>
    </row>
    <row r="187">
      <c r="A187" s="21" t="n"/>
      <c r="B187" s="21" t="n"/>
      <c r="C187" s="27">
        <f>IFERROR(VLOOKUP($B187,'Estoque Central'!$A$6:$M$205,2,FALSE),"")</f>
        <v/>
      </c>
      <c r="D187" s="25">
        <f>IFERROR(VLOOKUP($B187,'Estoque Central'!$A$6:$M$205,3,FALSE),"")</f>
        <v/>
      </c>
      <c r="E187" s="21" t="n"/>
      <c r="F187" s="22" t="n"/>
      <c r="G187" s="22" t="n"/>
      <c r="H187" s="25">
        <f>IFERROR(VLOOKUP($E187,'Configurações'!$A$11:$F$20,2,FALSE),"")</f>
        <v/>
      </c>
      <c r="I187" s="28">
        <f>IFERROR(VLOOKUP($E187,'Configurações'!$A$11:$F$20,3,FALSE),"")</f>
        <v/>
      </c>
      <c r="J187" s="24">
        <f>IFERROR(VLOOKUP($E187,'Configurações'!$A$11:$F$20,4,FALSE),"")</f>
        <v/>
      </c>
      <c r="K187" s="24">
        <f>IFERROR(VLOOKUP($E187,'Configurações'!$A$11:$F$20,5,FALSE),"")</f>
        <v/>
      </c>
      <c r="L187" s="24">
        <f>IFERROR(VLOOKUP($B187,'Estoque Central'!$A$6:$M$205,9,FALSE),"")</f>
        <v/>
      </c>
      <c r="M187" s="24">
        <f>IF(COUNTA($A187:$B187,$E187:$G187,$R187)=0,"",IFERROR(IF(OR($C187="",$H187=""),"",IF(OR($D187&lt;&gt;"Ativo",$H187&lt;&gt;"Sim"),0,MIN(IF($J187="",$L187,$J187),ROUNDDOWN($L187*$I187,0)))),""))</f>
        <v/>
      </c>
      <c r="N187" s="24">
        <f>IF(OR($M187="",NOT(ISNUMBER($F187))),"",$M187-$F187)</f>
        <v/>
      </c>
      <c r="O187" s="25">
        <f>IF(COUNTA($A187:$B187,$E187:$G187,$R187)=0,"",IF($S187&lt;&gt;"OK","REVISAR CADASTRO",IF($N187&gt;0,"AUMENTAR",IF($N187&lt;0,"REDUZIR","SEM AÇÃO"))))</f>
        <v/>
      </c>
      <c r="P187" s="25">
        <f>IF(COUNTA($A187:$B187,$E187:$G187,$R187)=0,"",IF($S187&lt;&gt;"OK","REVISAR",IF(OR($D187&lt;&gt;"Ativo",$H187&lt;&gt;"Sim"),IF($F187&gt;0,"ALTO","SEM EXPOSIÇÃO"),IF(OR($F187&gt;$M187,SUMIFS($F$6:$F$305,$B$6:$B$305,$B187,$S$6:$S$305,"OK")&gt;$L187),"ALTO",IF(AND($F187&gt;0,$L187&lt;=$K187),"MÉDIO","BAIXO")))))</f>
        <v/>
      </c>
      <c r="Q187" s="25">
        <f>IF(COUNTA($A187:$B187,$E187:$G187,$R187)=0,"",IF($S187&lt;&gt;"OK","REVISAR",IF($O187="SEM AÇÃO","BAIXA",IF(OR($P187="ALTO",ABS($N187)&gt;='Configurações'!$B$3),"URGENTE",IF(OR($P187="MÉDIO",'Configurações'!$B$5-$R187&gt;'Configurações'!$B$4),"ALTA","NORMAL")))))</f>
        <v/>
      </c>
      <c r="R187" s="23" t="n"/>
      <c r="S187" s="25">
        <f>IF(COUNTA($A187:$B187,$E187:$G187,$R187)=0,"",IF($A187="","ID AUSENTE",IF(COUNTIF($A$6:$A$305,$A187)&gt;1,"ID DUPLICADO",IF($B187="","SKU AUSENTE",IF(COUNTIF('Estoque Central'!$A$6:$A$205,$B187)=0,"SKU NÃO CADASTRADO",IF(IFERROR(VLOOKUP($B187,'Estoque Central'!$A$6:$M$205,13,FALSE),"")&lt;&gt;"OK","ESTOQUE CENTRAL COM PENDÊNCIA",IF($E187="","CANAL AUSENTE",IF(COUNTIF('Configurações'!$A$11:$A$20,$E187)=0,"CANAL NÃO CONFIGURADO",IF(IFERROR(VLOOKUP($E187,'Configurações'!$A$11:$F$20,6,FALSE),"")&lt;&gt;"OK","CANAL COM PENDÊNCIA",IF(COUNTIFS($B$6:$B$305,$B187,$E$6:$E$305,$E187)&gt;1,"SKU/CANAL DUPLICADO",IF(IFERROR(OR(NOT(ISNUMBER($F187)),$F187&lt;0,MOD($F187,1)&lt;&gt;0),TRUE),"SALDO PUBLICADO INVÁLIDO",IF(IFERROR(OR(NOT(ISNUMBER($G187)),$G187&lt;0,MOD($G187,1)&lt;&gt;0),TRUE),"PEDIDOS PENDENTES INVÁLIDOS",IF(IFERROR(OR(NOT(ISNUMBER($R187)),$R187&gt;'Configurações'!$B$5),TRUE),"DATA INVÁLIDA","OK")))))))))))))</f>
        <v/>
      </c>
    </row>
    <row r="188">
      <c r="A188" s="21" t="n"/>
      <c r="B188" s="21" t="n"/>
      <c r="C188" s="27">
        <f>IFERROR(VLOOKUP($B188,'Estoque Central'!$A$6:$M$205,2,FALSE),"")</f>
        <v/>
      </c>
      <c r="D188" s="25">
        <f>IFERROR(VLOOKUP($B188,'Estoque Central'!$A$6:$M$205,3,FALSE),"")</f>
        <v/>
      </c>
      <c r="E188" s="21" t="n"/>
      <c r="F188" s="22" t="n"/>
      <c r="G188" s="22" t="n"/>
      <c r="H188" s="25">
        <f>IFERROR(VLOOKUP($E188,'Configurações'!$A$11:$F$20,2,FALSE),"")</f>
        <v/>
      </c>
      <c r="I188" s="28">
        <f>IFERROR(VLOOKUP($E188,'Configurações'!$A$11:$F$20,3,FALSE),"")</f>
        <v/>
      </c>
      <c r="J188" s="24">
        <f>IFERROR(VLOOKUP($E188,'Configurações'!$A$11:$F$20,4,FALSE),"")</f>
        <v/>
      </c>
      <c r="K188" s="24">
        <f>IFERROR(VLOOKUP($E188,'Configurações'!$A$11:$F$20,5,FALSE),"")</f>
        <v/>
      </c>
      <c r="L188" s="24">
        <f>IFERROR(VLOOKUP($B188,'Estoque Central'!$A$6:$M$205,9,FALSE),"")</f>
        <v/>
      </c>
      <c r="M188" s="24">
        <f>IF(COUNTA($A188:$B188,$E188:$G188,$R188)=0,"",IFERROR(IF(OR($C188="",$H188=""),"",IF(OR($D188&lt;&gt;"Ativo",$H188&lt;&gt;"Sim"),0,MIN(IF($J188="",$L188,$J188),ROUNDDOWN($L188*$I188,0)))),""))</f>
        <v/>
      </c>
      <c r="N188" s="24">
        <f>IF(OR($M188="",NOT(ISNUMBER($F188))),"",$M188-$F188)</f>
        <v/>
      </c>
      <c r="O188" s="25">
        <f>IF(COUNTA($A188:$B188,$E188:$G188,$R188)=0,"",IF($S188&lt;&gt;"OK","REVISAR CADASTRO",IF($N188&gt;0,"AUMENTAR",IF($N188&lt;0,"REDUZIR","SEM AÇÃO"))))</f>
        <v/>
      </c>
      <c r="P188" s="25">
        <f>IF(COUNTA($A188:$B188,$E188:$G188,$R188)=0,"",IF($S188&lt;&gt;"OK","REVISAR",IF(OR($D188&lt;&gt;"Ativo",$H188&lt;&gt;"Sim"),IF($F188&gt;0,"ALTO","SEM EXPOSIÇÃO"),IF(OR($F188&gt;$M188,SUMIFS($F$6:$F$305,$B$6:$B$305,$B188,$S$6:$S$305,"OK")&gt;$L188),"ALTO",IF(AND($F188&gt;0,$L188&lt;=$K188),"MÉDIO","BAIXO")))))</f>
        <v/>
      </c>
      <c r="Q188" s="25">
        <f>IF(COUNTA($A188:$B188,$E188:$G188,$R188)=0,"",IF($S188&lt;&gt;"OK","REVISAR",IF($O188="SEM AÇÃO","BAIXA",IF(OR($P188="ALTO",ABS($N188)&gt;='Configurações'!$B$3),"URGENTE",IF(OR($P188="MÉDIO",'Configurações'!$B$5-$R188&gt;'Configurações'!$B$4),"ALTA","NORMAL")))))</f>
        <v/>
      </c>
      <c r="R188" s="23" t="n"/>
      <c r="S188" s="25">
        <f>IF(COUNTA($A188:$B188,$E188:$G188,$R188)=0,"",IF($A188="","ID AUSENTE",IF(COUNTIF($A$6:$A$305,$A188)&gt;1,"ID DUPLICADO",IF($B188="","SKU AUSENTE",IF(COUNTIF('Estoque Central'!$A$6:$A$205,$B188)=0,"SKU NÃO CADASTRADO",IF(IFERROR(VLOOKUP($B188,'Estoque Central'!$A$6:$M$205,13,FALSE),"")&lt;&gt;"OK","ESTOQUE CENTRAL COM PENDÊNCIA",IF($E188="","CANAL AUSENTE",IF(COUNTIF('Configurações'!$A$11:$A$20,$E188)=0,"CANAL NÃO CONFIGURADO",IF(IFERROR(VLOOKUP($E188,'Configurações'!$A$11:$F$20,6,FALSE),"")&lt;&gt;"OK","CANAL COM PENDÊNCIA",IF(COUNTIFS($B$6:$B$305,$B188,$E$6:$E$305,$E188)&gt;1,"SKU/CANAL DUPLICADO",IF(IFERROR(OR(NOT(ISNUMBER($F188)),$F188&lt;0,MOD($F188,1)&lt;&gt;0),TRUE),"SALDO PUBLICADO INVÁLIDO",IF(IFERROR(OR(NOT(ISNUMBER($G188)),$G188&lt;0,MOD($G188,1)&lt;&gt;0),TRUE),"PEDIDOS PENDENTES INVÁLIDOS",IF(IFERROR(OR(NOT(ISNUMBER($R188)),$R188&gt;'Configurações'!$B$5),TRUE),"DATA INVÁLIDA","OK")))))))))))))</f>
        <v/>
      </c>
    </row>
    <row r="189">
      <c r="A189" s="21" t="n"/>
      <c r="B189" s="21" t="n"/>
      <c r="C189" s="27">
        <f>IFERROR(VLOOKUP($B189,'Estoque Central'!$A$6:$M$205,2,FALSE),"")</f>
        <v/>
      </c>
      <c r="D189" s="25">
        <f>IFERROR(VLOOKUP($B189,'Estoque Central'!$A$6:$M$205,3,FALSE),"")</f>
        <v/>
      </c>
      <c r="E189" s="21" t="n"/>
      <c r="F189" s="22" t="n"/>
      <c r="G189" s="22" t="n"/>
      <c r="H189" s="25">
        <f>IFERROR(VLOOKUP($E189,'Configurações'!$A$11:$F$20,2,FALSE),"")</f>
        <v/>
      </c>
      <c r="I189" s="28">
        <f>IFERROR(VLOOKUP($E189,'Configurações'!$A$11:$F$20,3,FALSE),"")</f>
        <v/>
      </c>
      <c r="J189" s="24">
        <f>IFERROR(VLOOKUP($E189,'Configurações'!$A$11:$F$20,4,FALSE),"")</f>
        <v/>
      </c>
      <c r="K189" s="24">
        <f>IFERROR(VLOOKUP($E189,'Configurações'!$A$11:$F$20,5,FALSE),"")</f>
        <v/>
      </c>
      <c r="L189" s="24">
        <f>IFERROR(VLOOKUP($B189,'Estoque Central'!$A$6:$M$205,9,FALSE),"")</f>
        <v/>
      </c>
      <c r="M189" s="24">
        <f>IF(COUNTA($A189:$B189,$E189:$G189,$R189)=0,"",IFERROR(IF(OR($C189="",$H189=""),"",IF(OR($D189&lt;&gt;"Ativo",$H189&lt;&gt;"Sim"),0,MIN(IF($J189="",$L189,$J189),ROUNDDOWN($L189*$I189,0)))),""))</f>
        <v/>
      </c>
      <c r="N189" s="24">
        <f>IF(OR($M189="",NOT(ISNUMBER($F189))),"",$M189-$F189)</f>
        <v/>
      </c>
      <c r="O189" s="25">
        <f>IF(COUNTA($A189:$B189,$E189:$G189,$R189)=0,"",IF($S189&lt;&gt;"OK","REVISAR CADASTRO",IF($N189&gt;0,"AUMENTAR",IF($N189&lt;0,"REDUZIR","SEM AÇÃO"))))</f>
        <v/>
      </c>
      <c r="P189" s="25">
        <f>IF(COUNTA($A189:$B189,$E189:$G189,$R189)=0,"",IF($S189&lt;&gt;"OK","REVISAR",IF(OR($D189&lt;&gt;"Ativo",$H189&lt;&gt;"Sim"),IF($F189&gt;0,"ALTO","SEM EXPOSIÇÃO"),IF(OR($F189&gt;$M189,SUMIFS($F$6:$F$305,$B$6:$B$305,$B189,$S$6:$S$305,"OK")&gt;$L189),"ALTO",IF(AND($F189&gt;0,$L189&lt;=$K189),"MÉDIO","BAIXO")))))</f>
        <v/>
      </c>
      <c r="Q189" s="25">
        <f>IF(COUNTA($A189:$B189,$E189:$G189,$R189)=0,"",IF($S189&lt;&gt;"OK","REVISAR",IF($O189="SEM AÇÃO","BAIXA",IF(OR($P189="ALTO",ABS($N189)&gt;='Configurações'!$B$3),"URGENTE",IF(OR($P189="MÉDIO",'Configurações'!$B$5-$R189&gt;'Configurações'!$B$4),"ALTA","NORMAL")))))</f>
        <v/>
      </c>
      <c r="R189" s="23" t="n"/>
      <c r="S189" s="25">
        <f>IF(COUNTA($A189:$B189,$E189:$G189,$R189)=0,"",IF($A189="","ID AUSENTE",IF(COUNTIF($A$6:$A$305,$A189)&gt;1,"ID DUPLICADO",IF($B189="","SKU AUSENTE",IF(COUNTIF('Estoque Central'!$A$6:$A$205,$B189)=0,"SKU NÃO CADASTRADO",IF(IFERROR(VLOOKUP($B189,'Estoque Central'!$A$6:$M$205,13,FALSE),"")&lt;&gt;"OK","ESTOQUE CENTRAL COM PENDÊNCIA",IF($E189="","CANAL AUSENTE",IF(COUNTIF('Configurações'!$A$11:$A$20,$E189)=0,"CANAL NÃO CONFIGURADO",IF(IFERROR(VLOOKUP($E189,'Configurações'!$A$11:$F$20,6,FALSE),"")&lt;&gt;"OK","CANAL COM PENDÊNCIA",IF(COUNTIFS($B$6:$B$305,$B189,$E$6:$E$305,$E189)&gt;1,"SKU/CANAL DUPLICADO",IF(IFERROR(OR(NOT(ISNUMBER($F189)),$F189&lt;0,MOD($F189,1)&lt;&gt;0),TRUE),"SALDO PUBLICADO INVÁLIDO",IF(IFERROR(OR(NOT(ISNUMBER($G189)),$G189&lt;0,MOD($G189,1)&lt;&gt;0),TRUE),"PEDIDOS PENDENTES INVÁLIDOS",IF(IFERROR(OR(NOT(ISNUMBER($R189)),$R189&gt;'Configurações'!$B$5),TRUE),"DATA INVÁLIDA","OK")))))))))))))</f>
        <v/>
      </c>
    </row>
    <row r="190">
      <c r="A190" s="21" t="n"/>
      <c r="B190" s="21" t="n"/>
      <c r="C190" s="27">
        <f>IFERROR(VLOOKUP($B190,'Estoque Central'!$A$6:$M$205,2,FALSE),"")</f>
        <v/>
      </c>
      <c r="D190" s="25">
        <f>IFERROR(VLOOKUP($B190,'Estoque Central'!$A$6:$M$205,3,FALSE),"")</f>
        <v/>
      </c>
      <c r="E190" s="21" t="n"/>
      <c r="F190" s="22" t="n"/>
      <c r="G190" s="22" t="n"/>
      <c r="H190" s="25">
        <f>IFERROR(VLOOKUP($E190,'Configurações'!$A$11:$F$20,2,FALSE),"")</f>
        <v/>
      </c>
      <c r="I190" s="28">
        <f>IFERROR(VLOOKUP($E190,'Configurações'!$A$11:$F$20,3,FALSE),"")</f>
        <v/>
      </c>
      <c r="J190" s="24">
        <f>IFERROR(VLOOKUP($E190,'Configurações'!$A$11:$F$20,4,FALSE),"")</f>
        <v/>
      </c>
      <c r="K190" s="24">
        <f>IFERROR(VLOOKUP($E190,'Configurações'!$A$11:$F$20,5,FALSE),"")</f>
        <v/>
      </c>
      <c r="L190" s="24">
        <f>IFERROR(VLOOKUP($B190,'Estoque Central'!$A$6:$M$205,9,FALSE),"")</f>
        <v/>
      </c>
      <c r="M190" s="24">
        <f>IF(COUNTA($A190:$B190,$E190:$G190,$R190)=0,"",IFERROR(IF(OR($C190="",$H190=""),"",IF(OR($D190&lt;&gt;"Ativo",$H190&lt;&gt;"Sim"),0,MIN(IF($J190="",$L190,$J190),ROUNDDOWN($L190*$I190,0)))),""))</f>
        <v/>
      </c>
      <c r="N190" s="24">
        <f>IF(OR($M190="",NOT(ISNUMBER($F190))),"",$M190-$F190)</f>
        <v/>
      </c>
      <c r="O190" s="25">
        <f>IF(COUNTA($A190:$B190,$E190:$G190,$R190)=0,"",IF($S190&lt;&gt;"OK","REVISAR CADASTRO",IF($N190&gt;0,"AUMENTAR",IF($N190&lt;0,"REDUZIR","SEM AÇÃO"))))</f>
        <v/>
      </c>
      <c r="P190" s="25">
        <f>IF(COUNTA($A190:$B190,$E190:$G190,$R190)=0,"",IF($S190&lt;&gt;"OK","REVISAR",IF(OR($D190&lt;&gt;"Ativo",$H190&lt;&gt;"Sim"),IF($F190&gt;0,"ALTO","SEM EXPOSIÇÃO"),IF(OR($F190&gt;$M190,SUMIFS($F$6:$F$305,$B$6:$B$305,$B190,$S$6:$S$305,"OK")&gt;$L190),"ALTO",IF(AND($F190&gt;0,$L190&lt;=$K190),"MÉDIO","BAIXO")))))</f>
        <v/>
      </c>
      <c r="Q190" s="25">
        <f>IF(COUNTA($A190:$B190,$E190:$G190,$R190)=0,"",IF($S190&lt;&gt;"OK","REVISAR",IF($O190="SEM AÇÃO","BAIXA",IF(OR($P190="ALTO",ABS($N190)&gt;='Configurações'!$B$3),"URGENTE",IF(OR($P190="MÉDIO",'Configurações'!$B$5-$R190&gt;'Configurações'!$B$4),"ALTA","NORMAL")))))</f>
        <v/>
      </c>
      <c r="R190" s="23" t="n"/>
      <c r="S190" s="25">
        <f>IF(COUNTA($A190:$B190,$E190:$G190,$R190)=0,"",IF($A190="","ID AUSENTE",IF(COUNTIF($A$6:$A$305,$A190)&gt;1,"ID DUPLICADO",IF($B190="","SKU AUSENTE",IF(COUNTIF('Estoque Central'!$A$6:$A$205,$B190)=0,"SKU NÃO CADASTRADO",IF(IFERROR(VLOOKUP($B190,'Estoque Central'!$A$6:$M$205,13,FALSE),"")&lt;&gt;"OK","ESTOQUE CENTRAL COM PENDÊNCIA",IF($E190="","CANAL AUSENTE",IF(COUNTIF('Configurações'!$A$11:$A$20,$E190)=0,"CANAL NÃO CONFIGURADO",IF(IFERROR(VLOOKUP($E190,'Configurações'!$A$11:$F$20,6,FALSE),"")&lt;&gt;"OK","CANAL COM PENDÊNCIA",IF(COUNTIFS($B$6:$B$305,$B190,$E$6:$E$305,$E190)&gt;1,"SKU/CANAL DUPLICADO",IF(IFERROR(OR(NOT(ISNUMBER($F190)),$F190&lt;0,MOD($F190,1)&lt;&gt;0),TRUE),"SALDO PUBLICADO INVÁLIDO",IF(IFERROR(OR(NOT(ISNUMBER($G190)),$G190&lt;0,MOD($G190,1)&lt;&gt;0),TRUE),"PEDIDOS PENDENTES INVÁLIDOS",IF(IFERROR(OR(NOT(ISNUMBER($R190)),$R190&gt;'Configurações'!$B$5),TRUE),"DATA INVÁLIDA","OK")))))))))))))</f>
        <v/>
      </c>
    </row>
    <row r="191">
      <c r="A191" s="21" t="n"/>
      <c r="B191" s="21" t="n"/>
      <c r="C191" s="27">
        <f>IFERROR(VLOOKUP($B191,'Estoque Central'!$A$6:$M$205,2,FALSE),"")</f>
        <v/>
      </c>
      <c r="D191" s="25">
        <f>IFERROR(VLOOKUP($B191,'Estoque Central'!$A$6:$M$205,3,FALSE),"")</f>
        <v/>
      </c>
      <c r="E191" s="21" t="n"/>
      <c r="F191" s="22" t="n"/>
      <c r="G191" s="22" t="n"/>
      <c r="H191" s="25">
        <f>IFERROR(VLOOKUP($E191,'Configurações'!$A$11:$F$20,2,FALSE),"")</f>
        <v/>
      </c>
      <c r="I191" s="28">
        <f>IFERROR(VLOOKUP($E191,'Configurações'!$A$11:$F$20,3,FALSE),"")</f>
        <v/>
      </c>
      <c r="J191" s="24">
        <f>IFERROR(VLOOKUP($E191,'Configurações'!$A$11:$F$20,4,FALSE),"")</f>
        <v/>
      </c>
      <c r="K191" s="24">
        <f>IFERROR(VLOOKUP($E191,'Configurações'!$A$11:$F$20,5,FALSE),"")</f>
        <v/>
      </c>
      <c r="L191" s="24">
        <f>IFERROR(VLOOKUP($B191,'Estoque Central'!$A$6:$M$205,9,FALSE),"")</f>
        <v/>
      </c>
      <c r="M191" s="24">
        <f>IF(COUNTA($A191:$B191,$E191:$G191,$R191)=0,"",IFERROR(IF(OR($C191="",$H191=""),"",IF(OR($D191&lt;&gt;"Ativo",$H191&lt;&gt;"Sim"),0,MIN(IF($J191="",$L191,$J191),ROUNDDOWN($L191*$I191,0)))),""))</f>
        <v/>
      </c>
      <c r="N191" s="24">
        <f>IF(OR($M191="",NOT(ISNUMBER($F191))),"",$M191-$F191)</f>
        <v/>
      </c>
      <c r="O191" s="25">
        <f>IF(COUNTA($A191:$B191,$E191:$G191,$R191)=0,"",IF($S191&lt;&gt;"OK","REVISAR CADASTRO",IF($N191&gt;0,"AUMENTAR",IF($N191&lt;0,"REDUZIR","SEM AÇÃO"))))</f>
        <v/>
      </c>
      <c r="P191" s="25">
        <f>IF(COUNTA($A191:$B191,$E191:$G191,$R191)=0,"",IF($S191&lt;&gt;"OK","REVISAR",IF(OR($D191&lt;&gt;"Ativo",$H191&lt;&gt;"Sim"),IF($F191&gt;0,"ALTO","SEM EXPOSIÇÃO"),IF(OR($F191&gt;$M191,SUMIFS($F$6:$F$305,$B$6:$B$305,$B191,$S$6:$S$305,"OK")&gt;$L191),"ALTO",IF(AND($F191&gt;0,$L191&lt;=$K191),"MÉDIO","BAIXO")))))</f>
        <v/>
      </c>
      <c r="Q191" s="25">
        <f>IF(COUNTA($A191:$B191,$E191:$G191,$R191)=0,"",IF($S191&lt;&gt;"OK","REVISAR",IF($O191="SEM AÇÃO","BAIXA",IF(OR($P191="ALTO",ABS($N191)&gt;='Configurações'!$B$3),"URGENTE",IF(OR($P191="MÉDIO",'Configurações'!$B$5-$R191&gt;'Configurações'!$B$4),"ALTA","NORMAL")))))</f>
        <v/>
      </c>
      <c r="R191" s="23" t="n"/>
      <c r="S191" s="25">
        <f>IF(COUNTA($A191:$B191,$E191:$G191,$R191)=0,"",IF($A191="","ID AUSENTE",IF(COUNTIF($A$6:$A$305,$A191)&gt;1,"ID DUPLICADO",IF($B191="","SKU AUSENTE",IF(COUNTIF('Estoque Central'!$A$6:$A$205,$B191)=0,"SKU NÃO CADASTRADO",IF(IFERROR(VLOOKUP($B191,'Estoque Central'!$A$6:$M$205,13,FALSE),"")&lt;&gt;"OK","ESTOQUE CENTRAL COM PENDÊNCIA",IF($E191="","CANAL AUSENTE",IF(COUNTIF('Configurações'!$A$11:$A$20,$E191)=0,"CANAL NÃO CONFIGURADO",IF(IFERROR(VLOOKUP($E191,'Configurações'!$A$11:$F$20,6,FALSE),"")&lt;&gt;"OK","CANAL COM PENDÊNCIA",IF(COUNTIFS($B$6:$B$305,$B191,$E$6:$E$305,$E191)&gt;1,"SKU/CANAL DUPLICADO",IF(IFERROR(OR(NOT(ISNUMBER($F191)),$F191&lt;0,MOD($F191,1)&lt;&gt;0),TRUE),"SALDO PUBLICADO INVÁLIDO",IF(IFERROR(OR(NOT(ISNUMBER($G191)),$G191&lt;0,MOD($G191,1)&lt;&gt;0),TRUE),"PEDIDOS PENDENTES INVÁLIDOS",IF(IFERROR(OR(NOT(ISNUMBER($R191)),$R191&gt;'Configurações'!$B$5),TRUE),"DATA INVÁLIDA","OK")))))))))))))</f>
        <v/>
      </c>
    </row>
    <row r="192">
      <c r="A192" s="21" t="n"/>
      <c r="B192" s="21" t="n"/>
      <c r="C192" s="27">
        <f>IFERROR(VLOOKUP($B192,'Estoque Central'!$A$6:$M$205,2,FALSE),"")</f>
        <v/>
      </c>
      <c r="D192" s="25">
        <f>IFERROR(VLOOKUP($B192,'Estoque Central'!$A$6:$M$205,3,FALSE),"")</f>
        <v/>
      </c>
      <c r="E192" s="21" t="n"/>
      <c r="F192" s="22" t="n"/>
      <c r="G192" s="22" t="n"/>
      <c r="H192" s="25">
        <f>IFERROR(VLOOKUP($E192,'Configurações'!$A$11:$F$20,2,FALSE),"")</f>
        <v/>
      </c>
      <c r="I192" s="28">
        <f>IFERROR(VLOOKUP($E192,'Configurações'!$A$11:$F$20,3,FALSE),"")</f>
        <v/>
      </c>
      <c r="J192" s="24">
        <f>IFERROR(VLOOKUP($E192,'Configurações'!$A$11:$F$20,4,FALSE),"")</f>
        <v/>
      </c>
      <c r="K192" s="24">
        <f>IFERROR(VLOOKUP($E192,'Configurações'!$A$11:$F$20,5,FALSE),"")</f>
        <v/>
      </c>
      <c r="L192" s="24">
        <f>IFERROR(VLOOKUP($B192,'Estoque Central'!$A$6:$M$205,9,FALSE),"")</f>
        <v/>
      </c>
      <c r="M192" s="24">
        <f>IF(COUNTA($A192:$B192,$E192:$G192,$R192)=0,"",IFERROR(IF(OR($C192="",$H192=""),"",IF(OR($D192&lt;&gt;"Ativo",$H192&lt;&gt;"Sim"),0,MIN(IF($J192="",$L192,$J192),ROUNDDOWN($L192*$I192,0)))),""))</f>
        <v/>
      </c>
      <c r="N192" s="24">
        <f>IF(OR($M192="",NOT(ISNUMBER($F192))),"",$M192-$F192)</f>
        <v/>
      </c>
      <c r="O192" s="25">
        <f>IF(COUNTA($A192:$B192,$E192:$G192,$R192)=0,"",IF($S192&lt;&gt;"OK","REVISAR CADASTRO",IF($N192&gt;0,"AUMENTAR",IF($N192&lt;0,"REDUZIR","SEM AÇÃO"))))</f>
        <v/>
      </c>
      <c r="P192" s="25">
        <f>IF(COUNTA($A192:$B192,$E192:$G192,$R192)=0,"",IF($S192&lt;&gt;"OK","REVISAR",IF(OR($D192&lt;&gt;"Ativo",$H192&lt;&gt;"Sim"),IF($F192&gt;0,"ALTO","SEM EXPOSIÇÃO"),IF(OR($F192&gt;$M192,SUMIFS($F$6:$F$305,$B$6:$B$305,$B192,$S$6:$S$305,"OK")&gt;$L192),"ALTO",IF(AND($F192&gt;0,$L192&lt;=$K192),"MÉDIO","BAIXO")))))</f>
        <v/>
      </c>
      <c r="Q192" s="25">
        <f>IF(COUNTA($A192:$B192,$E192:$G192,$R192)=0,"",IF($S192&lt;&gt;"OK","REVISAR",IF($O192="SEM AÇÃO","BAIXA",IF(OR($P192="ALTO",ABS($N192)&gt;='Configurações'!$B$3),"URGENTE",IF(OR($P192="MÉDIO",'Configurações'!$B$5-$R192&gt;'Configurações'!$B$4),"ALTA","NORMAL")))))</f>
        <v/>
      </c>
      <c r="R192" s="23" t="n"/>
      <c r="S192" s="25">
        <f>IF(COUNTA($A192:$B192,$E192:$G192,$R192)=0,"",IF($A192="","ID AUSENTE",IF(COUNTIF($A$6:$A$305,$A192)&gt;1,"ID DUPLICADO",IF($B192="","SKU AUSENTE",IF(COUNTIF('Estoque Central'!$A$6:$A$205,$B192)=0,"SKU NÃO CADASTRADO",IF(IFERROR(VLOOKUP($B192,'Estoque Central'!$A$6:$M$205,13,FALSE),"")&lt;&gt;"OK","ESTOQUE CENTRAL COM PENDÊNCIA",IF($E192="","CANAL AUSENTE",IF(COUNTIF('Configurações'!$A$11:$A$20,$E192)=0,"CANAL NÃO CONFIGURADO",IF(IFERROR(VLOOKUP($E192,'Configurações'!$A$11:$F$20,6,FALSE),"")&lt;&gt;"OK","CANAL COM PENDÊNCIA",IF(COUNTIFS($B$6:$B$305,$B192,$E$6:$E$305,$E192)&gt;1,"SKU/CANAL DUPLICADO",IF(IFERROR(OR(NOT(ISNUMBER($F192)),$F192&lt;0,MOD($F192,1)&lt;&gt;0),TRUE),"SALDO PUBLICADO INVÁLIDO",IF(IFERROR(OR(NOT(ISNUMBER($G192)),$G192&lt;0,MOD($G192,1)&lt;&gt;0),TRUE),"PEDIDOS PENDENTES INVÁLIDOS",IF(IFERROR(OR(NOT(ISNUMBER($R192)),$R192&gt;'Configurações'!$B$5),TRUE),"DATA INVÁLIDA","OK")))))))))))))</f>
        <v/>
      </c>
    </row>
    <row r="193">
      <c r="A193" s="21" t="n"/>
      <c r="B193" s="21" t="n"/>
      <c r="C193" s="27">
        <f>IFERROR(VLOOKUP($B193,'Estoque Central'!$A$6:$M$205,2,FALSE),"")</f>
        <v/>
      </c>
      <c r="D193" s="25">
        <f>IFERROR(VLOOKUP($B193,'Estoque Central'!$A$6:$M$205,3,FALSE),"")</f>
        <v/>
      </c>
      <c r="E193" s="21" t="n"/>
      <c r="F193" s="22" t="n"/>
      <c r="G193" s="22" t="n"/>
      <c r="H193" s="25">
        <f>IFERROR(VLOOKUP($E193,'Configurações'!$A$11:$F$20,2,FALSE),"")</f>
        <v/>
      </c>
      <c r="I193" s="28">
        <f>IFERROR(VLOOKUP($E193,'Configurações'!$A$11:$F$20,3,FALSE),"")</f>
        <v/>
      </c>
      <c r="J193" s="24">
        <f>IFERROR(VLOOKUP($E193,'Configurações'!$A$11:$F$20,4,FALSE),"")</f>
        <v/>
      </c>
      <c r="K193" s="24">
        <f>IFERROR(VLOOKUP($E193,'Configurações'!$A$11:$F$20,5,FALSE),"")</f>
        <v/>
      </c>
      <c r="L193" s="24">
        <f>IFERROR(VLOOKUP($B193,'Estoque Central'!$A$6:$M$205,9,FALSE),"")</f>
        <v/>
      </c>
      <c r="M193" s="24">
        <f>IF(COUNTA($A193:$B193,$E193:$G193,$R193)=0,"",IFERROR(IF(OR($C193="",$H193=""),"",IF(OR($D193&lt;&gt;"Ativo",$H193&lt;&gt;"Sim"),0,MIN(IF($J193="",$L193,$J193),ROUNDDOWN($L193*$I193,0)))),""))</f>
        <v/>
      </c>
      <c r="N193" s="24">
        <f>IF(OR($M193="",NOT(ISNUMBER($F193))),"",$M193-$F193)</f>
        <v/>
      </c>
      <c r="O193" s="25">
        <f>IF(COUNTA($A193:$B193,$E193:$G193,$R193)=0,"",IF($S193&lt;&gt;"OK","REVISAR CADASTRO",IF($N193&gt;0,"AUMENTAR",IF($N193&lt;0,"REDUZIR","SEM AÇÃO"))))</f>
        <v/>
      </c>
      <c r="P193" s="25">
        <f>IF(COUNTA($A193:$B193,$E193:$G193,$R193)=0,"",IF($S193&lt;&gt;"OK","REVISAR",IF(OR($D193&lt;&gt;"Ativo",$H193&lt;&gt;"Sim"),IF($F193&gt;0,"ALTO","SEM EXPOSIÇÃO"),IF(OR($F193&gt;$M193,SUMIFS($F$6:$F$305,$B$6:$B$305,$B193,$S$6:$S$305,"OK")&gt;$L193),"ALTO",IF(AND($F193&gt;0,$L193&lt;=$K193),"MÉDIO","BAIXO")))))</f>
        <v/>
      </c>
      <c r="Q193" s="25">
        <f>IF(COUNTA($A193:$B193,$E193:$G193,$R193)=0,"",IF($S193&lt;&gt;"OK","REVISAR",IF($O193="SEM AÇÃO","BAIXA",IF(OR($P193="ALTO",ABS($N193)&gt;='Configurações'!$B$3),"URGENTE",IF(OR($P193="MÉDIO",'Configurações'!$B$5-$R193&gt;'Configurações'!$B$4),"ALTA","NORMAL")))))</f>
        <v/>
      </c>
      <c r="R193" s="23" t="n"/>
      <c r="S193" s="25">
        <f>IF(COUNTA($A193:$B193,$E193:$G193,$R193)=0,"",IF($A193="","ID AUSENTE",IF(COUNTIF($A$6:$A$305,$A193)&gt;1,"ID DUPLICADO",IF($B193="","SKU AUSENTE",IF(COUNTIF('Estoque Central'!$A$6:$A$205,$B193)=0,"SKU NÃO CADASTRADO",IF(IFERROR(VLOOKUP($B193,'Estoque Central'!$A$6:$M$205,13,FALSE),"")&lt;&gt;"OK","ESTOQUE CENTRAL COM PENDÊNCIA",IF($E193="","CANAL AUSENTE",IF(COUNTIF('Configurações'!$A$11:$A$20,$E193)=0,"CANAL NÃO CONFIGURADO",IF(IFERROR(VLOOKUP($E193,'Configurações'!$A$11:$F$20,6,FALSE),"")&lt;&gt;"OK","CANAL COM PENDÊNCIA",IF(COUNTIFS($B$6:$B$305,$B193,$E$6:$E$305,$E193)&gt;1,"SKU/CANAL DUPLICADO",IF(IFERROR(OR(NOT(ISNUMBER($F193)),$F193&lt;0,MOD($F193,1)&lt;&gt;0),TRUE),"SALDO PUBLICADO INVÁLIDO",IF(IFERROR(OR(NOT(ISNUMBER($G193)),$G193&lt;0,MOD($G193,1)&lt;&gt;0),TRUE),"PEDIDOS PENDENTES INVÁLIDOS",IF(IFERROR(OR(NOT(ISNUMBER($R193)),$R193&gt;'Configurações'!$B$5),TRUE),"DATA INVÁLIDA","OK")))))))))))))</f>
        <v/>
      </c>
    </row>
    <row r="194">
      <c r="A194" s="21" t="n"/>
      <c r="B194" s="21" t="n"/>
      <c r="C194" s="27">
        <f>IFERROR(VLOOKUP($B194,'Estoque Central'!$A$6:$M$205,2,FALSE),"")</f>
        <v/>
      </c>
      <c r="D194" s="25">
        <f>IFERROR(VLOOKUP($B194,'Estoque Central'!$A$6:$M$205,3,FALSE),"")</f>
        <v/>
      </c>
      <c r="E194" s="21" t="n"/>
      <c r="F194" s="22" t="n"/>
      <c r="G194" s="22" t="n"/>
      <c r="H194" s="25">
        <f>IFERROR(VLOOKUP($E194,'Configurações'!$A$11:$F$20,2,FALSE),"")</f>
        <v/>
      </c>
      <c r="I194" s="28">
        <f>IFERROR(VLOOKUP($E194,'Configurações'!$A$11:$F$20,3,FALSE),"")</f>
        <v/>
      </c>
      <c r="J194" s="24">
        <f>IFERROR(VLOOKUP($E194,'Configurações'!$A$11:$F$20,4,FALSE),"")</f>
        <v/>
      </c>
      <c r="K194" s="24">
        <f>IFERROR(VLOOKUP($E194,'Configurações'!$A$11:$F$20,5,FALSE),"")</f>
        <v/>
      </c>
      <c r="L194" s="24">
        <f>IFERROR(VLOOKUP($B194,'Estoque Central'!$A$6:$M$205,9,FALSE),"")</f>
        <v/>
      </c>
      <c r="M194" s="24">
        <f>IF(COUNTA($A194:$B194,$E194:$G194,$R194)=0,"",IFERROR(IF(OR($C194="",$H194=""),"",IF(OR($D194&lt;&gt;"Ativo",$H194&lt;&gt;"Sim"),0,MIN(IF($J194="",$L194,$J194),ROUNDDOWN($L194*$I194,0)))),""))</f>
        <v/>
      </c>
      <c r="N194" s="24">
        <f>IF(OR($M194="",NOT(ISNUMBER($F194))),"",$M194-$F194)</f>
        <v/>
      </c>
      <c r="O194" s="25">
        <f>IF(COUNTA($A194:$B194,$E194:$G194,$R194)=0,"",IF($S194&lt;&gt;"OK","REVISAR CADASTRO",IF($N194&gt;0,"AUMENTAR",IF($N194&lt;0,"REDUZIR","SEM AÇÃO"))))</f>
        <v/>
      </c>
      <c r="P194" s="25">
        <f>IF(COUNTA($A194:$B194,$E194:$G194,$R194)=0,"",IF($S194&lt;&gt;"OK","REVISAR",IF(OR($D194&lt;&gt;"Ativo",$H194&lt;&gt;"Sim"),IF($F194&gt;0,"ALTO","SEM EXPOSIÇÃO"),IF(OR($F194&gt;$M194,SUMIFS($F$6:$F$305,$B$6:$B$305,$B194,$S$6:$S$305,"OK")&gt;$L194),"ALTO",IF(AND($F194&gt;0,$L194&lt;=$K194),"MÉDIO","BAIXO")))))</f>
        <v/>
      </c>
      <c r="Q194" s="25">
        <f>IF(COUNTA($A194:$B194,$E194:$G194,$R194)=0,"",IF($S194&lt;&gt;"OK","REVISAR",IF($O194="SEM AÇÃO","BAIXA",IF(OR($P194="ALTO",ABS($N194)&gt;='Configurações'!$B$3),"URGENTE",IF(OR($P194="MÉDIO",'Configurações'!$B$5-$R194&gt;'Configurações'!$B$4),"ALTA","NORMAL")))))</f>
        <v/>
      </c>
      <c r="R194" s="23" t="n"/>
      <c r="S194" s="25">
        <f>IF(COUNTA($A194:$B194,$E194:$G194,$R194)=0,"",IF($A194="","ID AUSENTE",IF(COUNTIF($A$6:$A$305,$A194)&gt;1,"ID DUPLICADO",IF($B194="","SKU AUSENTE",IF(COUNTIF('Estoque Central'!$A$6:$A$205,$B194)=0,"SKU NÃO CADASTRADO",IF(IFERROR(VLOOKUP($B194,'Estoque Central'!$A$6:$M$205,13,FALSE),"")&lt;&gt;"OK","ESTOQUE CENTRAL COM PENDÊNCIA",IF($E194="","CANAL AUSENTE",IF(COUNTIF('Configurações'!$A$11:$A$20,$E194)=0,"CANAL NÃO CONFIGURADO",IF(IFERROR(VLOOKUP($E194,'Configurações'!$A$11:$F$20,6,FALSE),"")&lt;&gt;"OK","CANAL COM PENDÊNCIA",IF(COUNTIFS($B$6:$B$305,$B194,$E$6:$E$305,$E194)&gt;1,"SKU/CANAL DUPLICADO",IF(IFERROR(OR(NOT(ISNUMBER($F194)),$F194&lt;0,MOD($F194,1)&lt;&gt;0),TRUE),"SALDO PUBLICADO INVÁLIDO",IF(IFERROR(OR(NOT(ISNUMBER($G194)),$G194&lt;0,MOD($G194,1)&lt;&gt;0),TRUE),"PEDIDOS PENDENTES INVÁLIDOS",IF(IFERROR(OR(NOT(ISNUMBER($R194)),$R194&gt;'Configurações'!$B$5),TRUE),"DATA INVÁLIDA","OK")))))))))))))</f>
        <v/>
      </c>
    </row>
    <row r="195">
      <c r="A195" s="21" t="n"/>
      <c r="B195" s="21" t="n"/>
      <c r="C195" s="27">
        <f>IFERROR(VLOOKUP($B195,'Estoque Central'!$A$6:$M$205,2,FALSE),"")</f>
        <v/>
      </c>
      <c r="D195" s="25">
        <f>IFERROR(VLOOKUP($B195,'Estoque Central'!$A$6:$M$205,3,FALSE),"")</f>
        <v/>
      </c>
      <c r="E195" s="21" t="n"/>
      <c r="F195" s="22" t="n"/>
      <c r="G195" s="22" t="n"/>
      <c r="H195" s="25">
        <f>IFERROR(VLOOKUP($E195,'Configurações'!$A$11:$F$20,2,FALSE),"")</f>
        <v/>
      </c>
      <c r="I195" s="28">
        <f>IFERROR(VLOOKUP($E195,'Configurações'!$A$11:$F$20,3,FALSE),"")</f>
        <v/>
      </c>
      <c r="J195" s="24">
        <f>IFERROR(VLOOKUP($E195,'Configurações'!$A$11:$F$20,4,FALSE),"")</f>
        <v/>
      </c>
      <c r="K195" s="24">
        <f>IFERROR(VLOOKUP($E195,'Configurações'!$A$11:$F$20,5,FALSE),"")</f>
        <v/>
      </c>
      <c r="L195" s="24">
        <f>IFERROR(VLOOKUP($B195,'Estoque Central'!$A$6:$M$205,9,FALSE),"")</f>
        <v/>
      </c>
      <c r="M195" s="24">
        <f>IF(COUNTA($A195:$B195,$E195:$G195,$R195)=0,"",IFERROR(IF(OR($C195="",$H195=""),"",IF(OR($D195&lt;&gt;"Ativo",$H195&lt;&gt;"Sim"),0,MIN(IF($J195="",$L195,$J195),ROUNDDOWN($L195*$I195,0)))),""))</f>
        <v/>
      </c>
      <c r="N195" s="24">
        <f>IF(OR($M195="",NOT(ISNUMBER($F195))),"",$M195-$F195)</f>
        <v/>
      </c>
      <c r="O195" s="25">
        <f>IF(COUNTA($A195:$B195,$E195:$G195,$R195)=0,"",IF($S195&lt;&gt;"OK","REVISAR CADASTRO",IF($N195&gt;0,"AUMENTAR",IF($N195&lt;0,"REDUZIR","SEM AÇÃO"))))</f>
        <v/>
      </c>
      <c r="P195" s="25">
        <f>IF(COUNTA($A195:$B195,$E195:$G195,$R195)=0,"",IF($S195&lt;&gt;"OK","REVISAR",IF(OR($D195&lt;&gt;"Ativo",$H195&lt;&gt;"Sim"),IF($F195&gt;0,"ALTO","SEM EXPOSIÇÃO"),IF(OR($F195&gt;$M195,SUMIFS($F$6:$F$305,$B$6:$B$305,$B195,$S$6:$S$305,"OK")&gt;$L195),"ALTO",IF(AND($F195&gt;0,$L195&lt;=$K195),"MÉDIO","BAIXO")))))</f>
        <v/>
      </c>
      <c r="Q195" s="25">
        <f>IF(COUNTA($A195:$B195,$E195:$G195,$R195)=0,"",IF($S195&lt;&gt;"OK","REVISAR",IF($O195="SEM AÇÃO","BAIXA",IF(OR($P195="ALTO",ABS($N195)&gt;='Configurações'!$B$3),"URGENTE",IF(OR($P195="MÉDIO",'Configurações'!$B$5-$R195&gt;'Configurações'!$B$4),"ALTA","NORMAL")))))</f>
        <v/>
      </c>
      <c r="R195" s="23" t="n"/>
      <c r="S195" s="25">
        <f>IF(COUNTA($A195:$B195,$E195:$G195,$R195)=0,"",IF($A195="","ID AUSENTE",IF(COUNTIF($A$6:$A$305,$A195)&gt;1,"ID DUPLICADO",IF($B195="","SKU AUSENTE",IF(COUNTIF('Estoque Central'!$A$6:$A$205,$B195)=0,"SKU NÃO CADASTRADO",IF(IFERROR(VLOOKUP($B195,'Estoque Central'!$A$6:$M$205,13,FALSE),"")&lt;&gt;"OK","ESTOQUE CENTRAL COM PENDÊNCIA",IF($E195="","CANAL AUSENTE",IF(COUNTIF('Configurações'!$A$11:$A$20,$E195)=0,"CANAL NÃO CONFIGURADO",IF(IFERROR(VLOOKUP($E195,'Configurações'!$A$11:$F$20,6,FALSE),"")&lt;&gt;"OK","CANAL COM PENDÊNCIA",IF(COUNTIFS($B$6:$B$305,$B195,$E$6:$E$305,$E195)&gt;1,"SKU/CANAL DUPLICADO",IF(IFERROR(OR(NOT(ISNUMBER($F195)),$F195&lt;0,MOD($F195,1)&lt;&gt;0),TRUE),"SALDO PUBLICADO INVÁLIDO",IF(IFERROR(OR(NOT(ISNUMBER($G195)),$G195&lt;0,MOD($G195,1)&lt;&gt;0),TRUE),"PEDIDOS PENDENTES INVÁLIDOS",IF(IFERROR(OR(NOT(ISNUMBER($R195)),$R195&gt;'Configurações'!$B$5),TRUE),"DATA INVÁLIDA","OK")))))))))))))</f>
        <v/>
      </c>
    </row>
    <row r="196">
      <c r="A196" s="21" t="n"/>
      <c r="B196" s="21" t="n"/>
      <c r="C196" s="27">
        <f>IFERROR(VLOOKUP($B196,'Estoque Central'!$A$6:$M$205,2,FALSE),"")</f>
        <v/>
      </c>
      <c r="D196" s="25">
        <f>IFERROR(VLOOKUP($B196,'Estoque Central'!$A$6:$M$205,3,FALSE),"")</f>
        <v/>
      </c>
      <c r="E196" s="21" t="n"/>
      <c r="F196" s="22" t="n"/>
      <c r="G196" s="22" t="n"/>
      <c r="H196" s="25">
        <f>IFERROR(VLOOKUP($E196,'Configurações'!$A$11:$F$20,2,FALSE),"")</f>
        <v/>
      </c>
      <c r="I196" s="28">
        <f>IFERROR(VLOOKUP($E196,'Configurações'!$A$11:$F$20,3,FALSE),"")</f>
        <v/>
      </c>
      <c r="J196" s="24">
        <f>IFERROR(VLOOKUP($E196,'Configurações'!$A$11:$F$20,4,FALSE),"")</f>
        <v/>
      </c>
      <c r="K196" s="24">
        <f>IFERROR(VLOOKUP($E196,'Configurações'!$A$11:$F$20,5,FALSE),"")</f>
        <v/>
      </c>
      <c r="L196" s="24">
        <f>IFERROR(VLOOKUP($B196,'Estoque Central'!$A$6:$M$205,9,FALSE),"")</f>
        <v/>
      </c>
      <c r="M196" s="24">
        <f>IF(COUNTA($A196:$B196,$E196:$G196,$R196)=0,"",IFERROR(IF(OR($C196="",$H196=""),"",IF(OR($D196&lt;&gt;"Ativo",$H196&lt;&gt;"Sim"),0,MIN(IF($J196="",$L196,$J196),ROUNDDOWN($L196*$I196,0)))),""))</f>
        <v/>
      </c>
      <c r="N196" s="24">
        <f>IF(OR($M196="",NOT(ISNUMBER($F196))),"",$M196-$F196)</f>
        <v/>
      </c>
      <c r="O196" s="25">
        <f>IF(COUNTA($A196:$B196,$E196:$G196,$R196)=0,"",IF($S196&lt;&gt;"OK","REVISAR CADASTRO",IF($N196&gt;0,"AUMENTAR",IF($N196&lt;0,"REDUZIR","SEM AÇÃO"))))</f>
        <v/>
      </c>
      <c r="P196" s="25">
        <f>IF(COUNTA($A196:$B196,$E196:$G196,$R196)=0,"",IF($S196&lt;&gt;"OK","REVISAR",IF(OR($D196&lt;&gt;"Ativo",$H196&lt;&gt;"Sim"),IF($F196&gt;0,"ALTO","SEM EXPOSIÇÃO"),IF(OR($F196&gt;$M196,SUMIFS($F$6:$F$305,$B$6:$B$305,$B196,$S$6:$S$305,"OK")&gt;$L196),"ALTO",IF(AND($F196&gt;0,$L196&lt;=$K196),"MÉDIO","BAIXO")))))</f>
        <v/>
      </c>
      <c r="Q196" s="25">
        <f>IF(COUNTA($A196:$B196,$E196:$G196,$R196)=0,"",IF($S196&lt;&gt;"OK","REVISAR",IF($O196="SEM AÇÃO","BAIXA",IF(OR($P196="ALTO",ABS($N196)&gt;='Configurações'!$B$3),"URGENTE",IF(OR($P196="MÉDIO",'Configurações'!$B$5-$R196&gt;'Configurações'!$B$4),"ALTA","NORMAL")))))</f>
        <v/>
      </c>
      <c r="R196" s="23" t="n"/>
      <c r="S196" s="25">
        <f>IF(COUNTA($A196:$B196,$E196:$G196,$R196)=0,"",IF($A196="","ID AUSENTE",IF(COUNTIF($A$6:$A$305,$A196)&gt;1,"ID DUPLICADO",IF($B196="","SKU AUSENTE",IF(COUNTIF('Estoque Central'!$A$6:$A$205,$B196)=0,"SKU NÃO CADASTRADO",IF(IFERROR(VLOOKUP($B196,'Estoque Central'!$A$6:$M$205,13,FALSE),"")&lt;&gt;"OK","ESTOQUE CENTRAL COM PENDÊNCIA",IF($E196="","CANAL AUSENTE",IF(COUNTIF('Configurações'!$A$11:$A$20,$E196)=0,"CANAL NÃO CONFIGURADO",IF(IFERROR(VLOOKUP($E196,'Configurações'!$A$11:$F$20,6,FALSE),"")&lt;&gt;"OK","CANAL COM PENDÊNCIA",IF(COUNTIFS($B$6:$B$305,$B196,$E$6:$E$305,$E196)&gt;1,"SKU/CANAL DUPLICADO",IF(IFERROR(OR(NOT(ISNUMBER($F196)),$F196&lt;0,MOD($F196,1)&lt;&gt;0),TRUE),"SALDO PUBLICADO INVÁLIDO",IF(IFERROR(OR(NOT(ISNUMBER($G196)),$G196&lt;0,MOD($G196,1)&lt;&gt;0),TRUE),"PEDIDOS PENDENTES INVÁLIDOS",IF(IFERROR(OR(NOT(ISNUMBER($R196)),$R196&gt;'Configurações'!$B$5),TRUE),"DATA INVÁLIDA","OK")))))))))))))</f>
        <v/>
      </c>
    </row>
    <row r="197">
      <c r="A197" s="21" t="n"/>
      <c r="B197" s="21" t="n"/>
      <c r="C197" s="27">
        <f>IFERROR(VLOOKUP($B197,'Estoque Central'!$A$6:$M$205,2,FALSE),"")</f>
        <v/>
      </c>
      <c r="D197" s="25">
        <f>IFERROR(VLOOKUP($B197,'Estoque Central'!$A$6:$M$205,3,FALSE),"")</f>
        <v/>
      </c>
      <c r="E197" s="21" t="n"/>
      <c r="F197" s="22" t="n"/>
      <c r="G197" s="22" t="n"/>
      <c r="H197" s="25">
        <f>IFERROR(VLOOKUP($E197,'Configurações'!$A$11:$F$20,2,FALSE),"")</f>
        <v/>
      </c>
      <c r="I197" s="28">
        <f>IFERROR(VLOOKUP($E197,'Configurações'!$A$11:$F$20,3,FALSE),"")</f>
        <v/>
      </c>
      <c r="J197" s="24">
        <f>IFERROR(VLOOKUP($E197,'Configurações'!$A$11:$F$20,4,FALSE),"")</f>
        <v/>
      </c>
      <c r="K197" s="24">
        <f>IFERROR(VLOOKUP($E197,'Configurações'!$A$11:$F$20,5,FALSE),"")</f>
        <v/>
      </c>
      <c r="L197" s="24">
        <f>IFERROR(VLOOKUP($B197,'Estoque Central'!$A$6:$M$205,9,FALSE),"")</f>
        <v/>
      </c>
      <c r="M197" s="24">
        <f>IF(COUNTA($A197:$B197,$E197:$G197,$R197)=0,"",IFERROR(IF(OR($C197="",$H197=""),"",IF(OR($D197&lt;&gt;"Ativo",$H197&lt;&gt;"Sim"),0,MIN(IF($J197="",$L197,$J197),ROUNDDOWN($L197*$I197,0)))),""))</f>
        <v/>
      </c>
      <c r="N197" s="24">
        <f>IF(OR($M197="",NOT(ISNUMBER($F197))),"",$M197-$F197)</f>
        <v/>
      </c>
      <c r="O197" s="25">
        <f>IF(COUNTA($A197:$B197,$E197:$G197,$R197)=0,"",IF($S197&lt;&gt;"OK","REVISAR CADASTRO",IF($N197&gt;0,"AUMENTAR",IF($N197&lt;0,"REDUZIR","SEM AÇÃO"))))</f>
        <v/>
      </c>
      <c r="P197" s="25">
        <f>IF(COUNTA($A197:$B197,$E197:$G197,$R197)=0,"",IF($S197&lt;&gt;"OK","REVISAR",IF(OR($D197&lt;&gt;"Ativo",$H197&lt;&gt;"Sim"),IF($F197&gt;0,"ALTO","SEM EXPOSIÇÃO"),IF(OR($F197&gt;$M197,SUMIFS($F$6:$F$305,$B$6:$B$305,$B197,$S$6:$S$305,"OK")&gt;$L197),"ALTO",IF(AND($F197&gt;0,$L197&lt;=$K197),"MÉDIO","BAIXO")))))</f>
        <v/>
      </c>
      <c r="Q197" s="25">
        <f>IF(COUNTA($A197:$B197,$E197:$G197,$R197)=0,"",IF($S197&lt;&gt;"OK","REVISAR",IF($O197="SEM AÇÃO","BAIXA",IF(OR($P197="ALTO",ABS($N197)&gt;='Configurações'!$B$3),"URGENTE",IF(OR($P197="MÉDIO",'Configurações'!$B$5-$R197&gt;'Configurações'!$B$4),"ALTA","NORMAL")))))</f>
        <v/>
      </c>
      <c r="R197" s="23" t="n"/>
      <c r="S197" s="25">
        <f>IF(COUNTA($A197:$B197,$E197:$G197,$R197)=0,"",IF($A197="","ID AUSENTE",IF(COUNTIF($A$6:$A$305,$A197)&gt;1,"ID DUPLICADO",IF($B197="","SKU AUSENTE",IF(COUNTIF('Estoque Central'!$A$6:$A$205,$B197)=0,"SKU NÃO CADASTRADO",IF(IFERROR(VLOOKUP($B197,'Estoque Central'!$A$6:$M$205,13,FALSE),"")&lt;&gt;"OK","ESTOQUE CENTRAL COM PENDÊNCIA",IF($E197="","CANAL AUSENTE",IF(COUNTIF('Configurações'!$A$11:$A$20,$E197)=0,"CANAL NÃO CONFIGURADO",IF(IFERROR(VLOOKUP($E197,'Configurações'!$A$11:$F$20,6,FALSE),"")&lt;&gt;"OK","CANAL COM PENDÊNCIA",IF(COUNTIFS($B$6:$B$305,$B197,$E$6:$E$305,$E197)&gt;1,"SKU/CANAL DUPLICADO",IF(IFERROR(OR(NOT(ISNUMBER($F197)),$F197&lt;0,MOD($F197,1)&lt;&gt;0),TRUE),"SALDO PUBLICADO INVÁLIDO",IF(IFERROR(OR(NOT(ISNUMBER($G197)),$G197&lt;0,MOD($G197,1)&lt;&gt;0),TRUE),"PEDIDOS PENDENTES INVÁLIDOS",IF(IFERROR(OR(NOT(ISNUMBER($R197)),$R197&gt;'Configurações'!$B$5),TRUE),"DATA INVÁLIDA","OK")))))))))))))</f>
        <v/>
      </c>
    </row>
    <row r="198">
      <c r="A198" s="21" t="n"/>
      <c r="B198" s="21" t="n"/>
      <c r="C198" s="27">
        <f>IFERROR(VLOOKUP($B198,'Estoque Central'!$A$6:$M$205,2,FALSE),"")</f>
        <v/>
      </c>
      <c r="D198" s="25">
        <f>IFERROR(VLOOKUP($B198,'Estoque Central'!$A$6:$M$205,3,FALSE),"")</f>
        <v/>
      </c>
      <c r="E198" s="21" t="n"/>
      <c r="F198" s="22" t="n"/>
      <c r="G198" s="22" t="n"/>
      <c r="H198" s="25">
        <f>IFERROR(VLOOKUP($E198,'Configurações'!$A$11:$F$20,2,FALSE),"")</f>
        <v/>
      </c>
      <c r="I198" s="28">
        <f>IFERROR(VLOOKUP($E198,'Configurações'!$A$11:$F$20,3,FALSE),"")</f>
        <v/>
      </c>
      <c r="J198" s="24">
        <f>IFERROR(VLOOKUP($E198,'Configurações'!$A$11:$F$20,4,FALSE),"")</f>
        <v/>
      </c>
      <c r="K198" s="24">
        <f>IFERROR(VLOOKUP($E198,'Configurações'!$A$11:$F$20,5,FALSE),"")</f>
        <v/>
      </c>
      <c r="L198" s="24">
        <f>IFERROR(VLOOKUP($B198,'Estoque Central'!$A$6:$M$205,9,FALSE),"")</f>
        <v/>
      </c>
      <c r="M198" s="24">
        <f>IF(COUNTA($A198:$B198,$E198:$G198,$R198)=0,"",IFERROR(IF(OR($C198="",$H198=""),"",IF(OR($D198&lt;&gt;"Ativo",$H198&lt;&gt;"Sim"),0,MIN(IF($J198="",$L198,$J198),ROUNDDOWN($L198*$I198,0)))),""))</f>
        <v/>
      </c>
      <c r="N198" s="24">
        <f>IF(OR($M198="",NOT(ISNUMBER($F198))),"",$M198-$F198)</f>
        <v/>
      </c>
      <c r="O198" s="25">
        <f>IF(COUNTA($A198:$B198,$E198:$G198,$R198)=0,"",IF($S198&lt;&gt;"OK","REVISAR CADASTRO",IF($N198&gt;0,"AUMENTAR",IF($N198&lt;0,"REDUZIR","SEM AÇÃO"))))</f>
        <v/>
      </c>
      <c r="P198" s="25">
        <f>IF(COUNTA($A198:$B198,$E198:$G198,$R198)=0,"",IF($S198&lt;&gt;"OK","REVISAR",IF(OR($D198&lt;&gt;"Ativo",$H198&lt;&gt;"Sim"),IF($F198&gt;0,"ALTO","SEM EXPOSIÇÃO"),IF(OR($F198&gt;$M198,SUMIFS($F$6:$F$305,$B$6:$B$305,$B198,$S$6:$S$305,"OK")&gt;$L198),"ALTO",IF(AND($F198&gt;0,$L198&lt;=$K198),"MÉDIO","BAIXO")))))</f>
        <v/>
      </c>
      <c r="Q198" s="25">
        <f>IF(COUNTA($A198:$B198,$E198:$G198,$R198)=0,"",IF($S198&lt;&gt;"OK","REVISAR",IF($O198="SEM AÇÃO","BAIXA",IF(OR($P198="ALTO",ABS($N198)&gt;='Configurações'!$B$3),"URGENTE",IF(OR($P198="MÉDIO",'Configurações'!$B$5-$R198&gt;'Configurações'!$B$4),"ALTA","NORMAL")))))</f>
        <v/>
      </c>
      <c r="R198" s="23" t="n"/>
      <c r="S198" s="25">
        <f>IF(COUNTA($A198:$B198,$E198:$G198,$R198)=0,"",IF($A198="","ID AUSENTE",IF(COUNTIF($A$6:$A$305,$A198)&gt;1,"ID DUPLICADO",IF($B198="","SKU AUSENTE",IF(COUNTIF('Estoque Central'!$A$6:$A$205,$B198)=0,"SKU NÃO CADASTRADO",IF(IFERROR(VLOOKUP($B198,'Estoque Central'!$A$6:$M$205,13,FALSE),"")&lt;&gt;"OK","ESTOQUE CENTRAL COM PENDÊNCIA",IF($E198="","CANAL AUSENTE",IF(COUNTIF('Configurações'!$A$11:$A$20,$E198)=0,"CANAL NÃO CONFIGURADO",IF(IFERROR(VLOOKUP($E198,'Configurações'!$A$11:$F$20,6,FALSE),"")&lt;&gt;"OK","CANAL COM PENDÊNCIA",IF(COUNTIFS($B$6:$B$305,$B198,$E$6:$E$305,$E198)&gt;1,"SKU/CANAL DUPLICADO",IF(IFERROR(OR(NOT(ISNUMBER($F198)),$F198&lt;0,MOD($F198,1)&lt;&gt;0),TRUE),"SALDO PUBLICADO INVÁLIDO",IF(IFERROR(OR(NOT(ISNUMBER($G198)),$G198&lt;0,MOD($G198,1)&lt;&gt;0),TRUE),"PEDIDOS PENDENTES INVÁLIDOS",IF(IFERROR(OR(NOT(ISNUMBER($R198)),$R198&gt;'Configurações'!$B$5),TRUE),"DATA INVÁLIDA","OK")))))))))))))</f>
        <v/>
      </c>
    </row>
    <row r="199">
      <c r="A199" s="21" t="n"/>
      <c r="B199" s="21" t="n"/>
      <c r="C199" s="27">
        <f>IFERROR(VLOOKUP($B199,'Estoque Central'!$A$6:$M$205,2,FALSE),"")</f>
        <v/>
      </c>
      <c r="D199" s="25">
        <f>IFERROR(VLOOKUP($B199,'Estoque Central'!$A$6:$M$205,3,FALSE),"")</f>
        <v/>
      </c>
      <c r="E199" s="21" t="n"/>
      <c r="F199" s="22" t="n"/>
      <c r="G199" s="22" t="n"/>
      <c r="H199" s="25">
        <f>IFERROR(VLOOKUP($E199,'Configurações'!$A$11:$F$20,2,FALSE),"")</f>
        <v/>
      </c>
      <c r="I199" s="28">
        <f>IFERROR(VLOOKUP($E199,'Configurações'!$A$11:$F$20,3,FALSE),"")</f>
        <v/>
      </c>
      <c r="J199" s="24">
        <f>IFERROR(VLOOKUP($E199,'Configurações'!$A$11:$F$20,4,FALSE),"")</f>
        <v/>
      </c>
      <c r="K199" s="24">
        <f>IFERROR(VLOOKUP($E199,'Configurações'!$A$11:$F$20,5,FALSE),"")</f>
        <v/>
      </c>
      <c r="L199" s="24">
        <f>IFERROR(VLOOKUP($B199,'Estoque Central'!$A$6:$M$205,9,FALSE),"")</f>
        <v/>
      </c>
      <c r="M199" s="24">
        <f>IF(COUNTA($A199:$B199,$E199:$G199,$R199)=0,"",IFERROR(IF(OR($C199="",$H199=""),"",IF(OR($D199&lt;&gt;"Ativo",$H199&lt;&gt;"Sim"),0,MIN(IF($J199="",$L199,$J199),ROUNDDOWN($L199*$I199,0)))),""))</f>
        <v/>
      </c>
      <c r="N199" s="24">
        <f>IF(OR($M199="",NOT(ISNUMBER($F199))),"",$M199-$F199)</f>
        <v/>
      </c>
      <c r="O199" s="25">
        <f>IF(COUNTA($A199:$B199,$E199:$G199,$R199)=0,"",IF($S199&lt;&gt;"OK","REVISAR CADASTRO",IF($N199&gt;0,"AUMENTAR",IF($N199&lt;0,"REDUZIR","SEM AÇÃO"))))</f>
        <v/>
      </c>
      <c r="P199" s="25">
        <f>IF(COUNTA($A199:$B199,$E199:$G199,$R199)=0,"",IF($S199&lt;&gt;"OK","REVISAR",IF(OR($D199&lt;&gt;"Ativo",$H199&lt;&gt;"Sim"),IF($F199&gt;0,"ALTO","SEM EXPOSIÇÃO"),IF(OR($F199&gt;$M199,SUMIFS($F$6:$F$305,$B$6:$B$305,$B199,$S$6:$S$305,"OK")&gt;$L199),"ALTO",IF(AND($F199&gt;0,$L199&lt;=$K199),"MÉDIO","BAIXO")))))</f>
        <v/>
      </c>
      <c r="Q199" s="25">
        <f>IF(COUNTA($A199:$B199,$E199:$G199,$R199)=0,"",IF($S199&lt;&gt;"OK","REVISAR",IF($O199="SEM AÇÃO","BAIXA",IF(OR($P199="ALTO",ABS($N199)&gt;='Configurações'!$B$3),"URGENTE",IF(OR($P199="MÉDIO",'Configurações'!$B$5-$R199&gt;'Configurações'!$B$4),"ALTA","NORMAL")))))</f>
        <v/>
      </c>
      <c r="R199" s="23" t="n"/>
      <c r="S199" s="25">
        <f>IF(COUNTA($A199:$B199,$E199:$G199,$R199)=0,"",IF($A199="","ID AUSENTE",IF(COUNTIF($A$6:$A$305,$A199)&gt;1,"ID DUPLICADO",IF($B199="","SKU AUSENTE",IF(COUNTIF('Estoque Central'!$A$6:$A$205,$B199)=0,"SKU NÃO CADASTRADO",IF(IFERROR(VLOOKUP($B199,'Estoque Central'!$A$6:$M$205,13,FALSE),"")&lt;&gt;"OK","ESTOQUE CENTRAL COM PENDÊNCIA",IF($E199="","CANAL AUSENTE",IF(COUNTIF('Configurações'!$A$11:$A$20,$E199)=0,"CANAL NÃO CONFIGURADO",IF(IFERROR(VLOOKUP($E199,'Configurações'!$A$11:$F$20,6,FALSE),"")&lt;&gt;"OK","CANAL COM PENDÊNCIA",IF(COUNTIFS($B$6:$B$305,$B199,$E$6:$E$305,$E199)&gt;1,"SKU/CANAL DUPLICADO",IF(IFERROR(OR(NOT(ISNUMBER($F199)),$F199&lt;0,MOD($F199,1)&lt;&gt;0),TRUE),"SALDO PUBLICADO INVÁLIDO",IF(IFERROR(OR(NOT(ISNUMBER($G199)),$G199&lt;0,MOD($G199,1)&lt;&gt;0),TRUE),"PEDIDOS PENDENTES INVÁLIDOS",IF(IFERROR(OR(NOT(ISNUMBER($R199)),$R199&gt;'Configurações'!$B$5),TRUE),"DATA INVÁLIDA","OK")))))))))))))</f>
        <v/>
      </c>
    </row>
    <row r="200">
      <c r="A200" s="21" t="n"/>
      <c r="B200" s="21" t="n"/>
      <c r="C200" s="27">
        <f>IFERROR(VLOOKUP($B200,'Estoque Central'!$A$6:$M$205,2,FALSE),"")</f>
        <v/>
      </c>
      <c r="D200" s="25">
        <f>IFERROR(VLOOKUP($B200,'Estoque Central'!$A$6:$M$205,3,FALSE),"")</f>
        <v/>
      </c>
      <c r="E200" s="21" t="n"/>
      <c r="F200" s="22" t="n"/>
      <c r="G200" s="22" t="n"/>
      <c r="H200" s="25">
        <f>IFERROR(VLOOKUP($E200,'Configurações'!$A$11:$F$20,2,FALSE),"")</f>
        <v/>
      </c>
      <c r="I200" s="28">
        <f>IFERROR(VLOOKUP($E200,'Configurações'!$A$11:$F$20,3,FALSE),"")</f>
        <v/>
      </c>
      <c r="J200" s="24">
        <f>IFERROR(VLOOKUP($E200,'Configurações'!$A$11:$F$20,4,FALSE),"")</f>
        <v/>
      </c>
      <c r="K200" s="24">
        <f>IFERROR(VLOOKUP($E200,'Configurações'!$A$11:$F$20,5,FALSE),"")</f>
        <v/>
      </c>
      <c r="L200" s="24">
        <f>IFERROR(VLOOKUP($B200,'Estoque Central'!$A$6:$M$205,9,FALSE),"")</f>
        <v/>
      </c>
      <c r="M200" s="24">
        <f>IF(COUNTA($A200:$B200,$E200:$G200,$R200)=0,"",IFERROR(IF(OR($C200="",$H200=""),"",IF(OR($D200&lt;&gt;"Ativo",$H200&lt;&gt;"Sim"),0,MIN(IF($J200="",$L200,$J200),ROUNDDOWN($L200*$I200,0)))),""))</f>
        <v/>
      </c>
      <c r="N200" s="24">
        <f>IF(OR($M200="",NOT(ISNUMBER($F200))),"",$M200-$F200)</f>
        <v/>
      </c>
      <c r="O200" s="25">
        <f>IF(COUNTA($A200:$B200,$E200:$G200,$R200)=0,"",IF($S200&lt;&gt;"OK","REVISAR CADASTRO",IF($N200&gt;0,"AUMENTAR",IF($N200&lt;0,"REDUZIR","SEM AÇÃO"))))</f>
        <v/>
      </c>
      <c r="P200" s="25">
        <f>IF(COUNTA($A200:$B200,$E200:$G200,$R200)=0,"",IF($S200&lt;&gt;"OK","REVISAR",IF(OR($D200&lt;&gt;"Ativo",$H200&lt;&gt;"Sim"),IF($F200&gt;0,"ALTO","SEM EXPOSIÇÃO"),IF(OR($F200&gt;$M200,SUMIFS($F$6:$F$305,$B$6:$B$305,$B200,$S$6:$S$305,"OK")&gt;$L200),"ALTO",IF(AND($F200&gt;0,$L200&lt;=$K200),"MÉDIO","BAIXO")))))</f>
        <v/>
      </c>
      <c r="Q200" s="25">
        <f>IF(COUNTA($A200:$B200,$E200:$G200,$R200)=0,"",IF($S200&lt;&gt;"OK","REVISAR",IF($O200="SEM AÇÃO","BAIXA",IF(OR($P200="ALTO",ABS($N200)&gt;='Configurações'!$B$3),"URGENTE",IF(OR($P200="MÉDIO",'Configurações'!$B$5-$R200&gt;'Configurações'!$B$4),"ALTA","NORMAL")))))</f>
        <v/>
      </c>
      <c r="R200" s="23" t="n"/>
      <c r="S200" s="25">
        <f>IF(COUNTA($A200:$B200,$E200:$G200,$R200)=0,"",IF($A200="","ID AUSENTE",IF(COUNTIF($A$6:$A$305,$A200)&gt;1,"ID DUPLICADO",IF($B200="","SKU AUSENTE",IF(COUNTIF('Estoque Central'!$A$6:$A$205,$B200)=0,"SKU NÃO CADASTRADO",IF(IFERROR(VLOOKUP($B200,'Estoque Central'!$A$6:$M$205,13,FALSE),"")&lt;&gt;"OK","ESTOQUE CENTRAL COM PENDÊNCIA",IF($E200="","CANAL AUSENTE",IF(COUNTIF('Configurações'!$A$11:$A$20,$E200)=0,"CANAL NÃO CONFIGURADO",IF(IFERROR(VLOOKUP($E200,'Configurações'!$A$11:$F$20,6,FALSE),"")&lt;&gt;"OK","CANAL COM PENDÊNCIA",IF(COUNTIFS($B$6:$B$305,$B200,$E$6:$E$305,$E200)&gt;1,"SKU/CANAL DUPLICADO",IF(IFERROR(OR(NOT(ISNUMBER($F200)),$F200&lt;0,MOD($F200,1)&lt;&gt;0),TRUE),"SALDO PUBLICADO INVÁLIDO",IF(IFERROR(OR(NOT(ISNUMBER($G200)),$G200&lt;0,MOD($G200,1)&lt;&gt;0),TRUE),"PEDIDOS PENDENTES INVÁLIDOS",IF(IFERROR(OR(NOT(ISNUMBER($R200)),$R200&gt;'Configurações'!$B$5),TRUE),"DATA INVÁLIDA","OK")))))))))))))</f>
        <v/>
      </c>
    </row>
    <row r="201">
      <c r="A201" s="21" t="n"/>
      <c r="B201" s="21" t="n"/>
      <c r="C201" s="27">
        <f>IFERROR(VLOOKUP($B201,'Estoque Central'!$A$6:$M$205,2,FALSE),"")</f>
        <v/>
      </c>
      <c r="D201" s="25">
        <f>IFERROR(VLOOKUP($B201,'Estoque Central'!$A$6:$M$205,3,FALSE),"")</f>
        <v/>
      </c>
      <c r="E201" s="21" t="n"/>
      <c r="F201" s="22" t="n"/>
      <c r="G201" s="22" t="n"/>
      <c r="H201" s="25">
        <f>IFERROR(VLOOKUP($E201,'Configurações'!$A$11:$F$20,2,FALSE),"")</f>
        <v/>
      </c>
      <c r="I201" s="28">
        <f>IFERROR(VLOOKUP($E201,'Configurações'!$A$11:$F$20,3,FALSE),"")</f>
        <v/>
      </c>
      <c r="J201" s="24">
        <f>IFERROR(VLOOKUP($E201,'Configurações'!$A$11:$F$20,4,FALSE),"")</f>
        <v/>
      </c>
      <c r="K201" s="24">
        <f>IFERROR(VLOOKUP($E201,'Configurações'!$A$11:$F$20,5,FALSE),"")</f>
        <v/>
      </c>
      <c r="L201" s="24">
        <f>IFERROR(VLOOKUP($B201,'Estoque Central'!$A$6:$M$205,9,FALSE),"")</f>
        <v/>
      </c>
      <c r="M201" s="24">
        <f>IF(COUNTA($A201:$B201,$E201:$G201,$R201)=0,"",IFERROR(IF(OR($C201="",$H201=""),"",IF(OR($D201&lt;&gt;"Ativo",$H201&lt;&gt;"Sim"),0,MIN(IF($J201="",$L201,$J201),ROUNDDOWN($L201*$I201,0)))),""))</f>
        <v/>
      </c>
      <c r="N201" s="24">
        <f>IF(OR($M201="",NOT(ISNUMBER($F201))),"",$M201-$F201)</f>
        <v/>
      </c>
      <c r="O201" s="25">
        <f>IF(COUNTA($A201:$B201,$E201:$G201,$R201)=0,"",IF($S201&lt;&gt;"OK","REVISAR CADASTRO",IF($N201&gt;0,"AUMENTAR",IF($N201&lt;0,"REDUZIR","SEM AÇÃO"))))</f>
        <v/>
      </c>
      <c r="P201" s="25">
        <f>IF(COUNTA($A201:$B201,$E201:$G201,$R201)=0,"",IF($S201&lt;&gt;"OK","REVISAR",IF(OR($D201&lt;&gt;"Ativo",$H201&lt;&gt;"Sim"),IF($F201&gt;0,"ALTO","SEM EXPOSIÇÃO"),IF(OR($F201&gt;$M201,SUMIFS($F$6:$F$305,$B$6:$B$305,$B201,$S$6:$S$305,"OK")&gt;$L201),"ALTO",IF(AND($F201&gt;0,$L201&lt;=$K201),"MÉDIO","BAIXO")))))</f>
        <v/>
      </c>
      <c r="Q201" s="25">
        <f>IF(COUNTA($A201:$B201,$E201:$G201,$R201)=0,"",IF($S201&lt;&gt;"OK","REVISAR",IF($O201="SEM AÇÃO","BAIXA",IF(OR($P201="ALTO",ABS($N201)&gt;='Configurações'!$B$3),"URGENTE",IF(OR($P201="MÉDIO",'Configurações'!$B$5-$R201&gt;'Configurações'!$B$4),"ALTA","NORMAL")))))</f>
        <v/>
      </c>
      <c r="R201" s="23" t="n"/>
      <c r="S201" s="25">
        <f>IF(COUNTA($A201:$B201,$E201:$G201,$R201)=0,"",IF($A201="","ID AUSENTE",IF(COUNTIF($A$6:$A$305,$A201)&gt;1,"ID DUPLICADO",IF($B201="","SKU AUSENTE",IF(COUNTIF('Estoque Central'!$A$6:$A$205,$B201)=0,"SKU NÃO CADASTRADO",IF(IFERROR(VLOOKUP($B201,'Estoque Central'!$A$6:$M$205,13,FALSE),"")&lt;&gt;"OK","ESTOQUE CENTRAL COM PENDÊNCIA",IF($E201="","CANAL AUSENTE",IF(COUNTIF('Configurações'!$A$11:$A$20,$E201)=0,"CANAL NÃO CONFIGURADO",IF(IFERROR(VLOOKUP($E201,'Configurações'!$A$11:$F$20,6,FALSE),"")&lt;&gt;"OK","CANAL COM PENDÊNCIA",IF(COUNTIFS($B$6:$B$305,$B201,$E$6:$E$305,$E201)&gt;1,"SKU/CANAL DUPLICADO",IF(IFERROR(OR(NOT(ISNUMBER($F201)),$F201&lt;0,MOD($F201,1)&lt;&gt;0),TRUE),"SALDO PUBLICADO INVÁLIDO",IF(IFERROR(OR(NOT(ISNUMBER($G201)),$G201&lt;0,MOD($G201,1)&lt;&gt;0),TRUE),"PEDIDOS PENDENTES INVÁLIDOS",IF(IFERROR(OR(NOT(ISNUMBER($R201)),$R201&gt;'Configurações'!$B$5),TRUE),"DATA INVÁLIDA","OK")))))))))))))</f>
        <v/>
      </c>
    </row>
    <row r="202">
      <c r="A202" s="21" t="n"/>
      <c r="B202" s="21" t="n"/>
      <c r="C202" s="27">
        <f>IFERROR(VLOOKUP($B202,'Estoque Central'!$A$6:$M$205,2,FALSE),"")</f>
        <v/>
      </c>
      <c r="D202" s="25">
        <f>IFERROR(VLOOKUP($B202,'Estoque Central'!$A$6:$M$205,3,FALSE),"")</f>
        <v/>
      </c>
      <c r="E202" s="21" t="n"/>
      <c r="F202" s="22" t="n"/>
      <c r="G202" s="22" t="n"/>
      <c r="H202" s="25">
        <f>IFERROR(VLOOKUP($E202,'Configurações'!$A$11:$F$20,2,FALSE),"")</f>
        <v/>
      </c>
      <c r="I202" s="28">
        <f>IFERROR(VLOOKUP($E202,'Configurações'!$A$11:$F$20,3,FALSE),"")</f>
        <v/>
      </c>
      <c r="J202" s="24">
        <f>IFERROR(VLOOKUP($E202,'Configurações'!$A$11:$F$20,4,FALSE),"")</f>
        <v/>
      </c>
      <c r="K202" s="24">
        <f>IFERROR(VLOOKUP($E202,'Configurações'!$A$11:$F$20,5,FALSE),"")</f>
        <v/>
      </c>
      <c r="L202" s="24">
        <f>IFERROR(VLOOKUP($B202,'Estoque Central'!$A$6:$M$205,9,FALSE),"")</f>
        <v/>
      </c>
      <c r="M202" s="24">
        <f>IF(COUNTA($A202:$B202,$E202:$G202,$R202)=0,"",IFERROR(IF(OR($C202="",$H202=""),"",IF(OR($D202&lt;&gt;"Ativo",$H202&lt;&gt;"Sim"),0,MIN(IF($J202="",$L202,$J202),ROUNDDOWN($L202*$I202,0)))),""))</f>
        <v/>
      </c>
      <c r="N202" s="24">
        <f>IF(OR($M202="",NOT(ISNUMBER($F202))),"",$M202-$F202)</f>
        <v/>
      </c>
      <c r="O202" s="25">
        <f>IF(COUNTA($A202:$B202,$E202:$G202,$R202)=0,"",IF($S202&lt;&gt;"OK","REVISAR CADASTRO",IF($N202&gt;0,"AUMENTAR",IF($N202&lt;0,"REDUZIR","SEM AÇÃO"))))</f>
        <v/>
      </c>
      <c r="P202" s="25">
        <f>IF(COUNTA($A202:$B202,$E202:$G202,$R202)=0,"",IF($S202&lt;&gt;"OK","REVISAR",IF(OR($D202&lt;&gt;"Ativo",$H202&lt;&gt;"Sim"),IF($F202&gt;0,"ALTO","SEM EXPOSIÇÃO"),IF(OR($F202&gt;$M202,SUMIFS($F$6:$F$305,$B$6:$B$305,$B202,$S$6:$S$305,"OK")&gt;$L202),"ALTO",IF(AND($F202&gt;0,$L202&lt;=$K202),"MÉDIO","BAIXO")))))</f>
        <v/>
      </c>
      <c r="Q202" s="25">
        <f>IF(COUNTA($A202:$B202,$E202:$G202,$R202)=0,"",IF($S202&lt;&gt;"OK","REVISAR",IF($O202="SEM AÇÃO","BAIXA",IF(OR($P202="ALTO",ABS($N202)&gt;='Configurações'!$B$3),"URGENTE",IF(OR($P202="MÉDIO",'Configurações'!$B$5-$R202&gt;'Configurações'!$B$4),"ALTA","NORMAL")))))</f>
        <v/>
      </c>
      <c r="R202" s="23" t="n"/>
      <c r="S202" s="25">
        <f>IF(COUNTA($A202:$B202,$E202:$G202,$R202)=0,"",IF($A202="","ID AUSENTE",IF(COUNTIF($A$6:$A$305,$A202)&gt;1,"ID DUPLICADO",IF($B202="","SKU AUSENTE",IF(COUNTIF('Estoque Central'!$A$6:$A$205,$B202)=0,"SKU NÃO CADASTRADO",IF(IFERROR(VLOOKUP($B202,'Estoque Central'!$A$6:$M$205,13,FALSE),"")&lt;&gt;"OK","ESTOQUE CENTRAL COM PENDÊNCIA",IF($E202="","CANAL AUSENTE",IF(COUNTIF('Configurações'!$A$11:$A$20,$E202)=0,"CANAL NÃO CONFIGURADO",IF(IFERROR(VLOOKUP($E202,'Configurações'!$A$11:$F$20,6,FALSE),"")&lt;&gt;"OK","CANAL COM PENDÊNCIA",IF(COUNTIFS($B$6:$B$305,$B202,$E$6:$E$305,$E202)&gt;1,"SKU/CANAL DUPLICADO",IF(IFERROR(OR(NOT(ISNUMBER($F202)),$F202&lt;0,MOD($F202,1)&lt;&gt;0),TRUE),"SALDO PUBLICADO INVÁLIDO",IF(IFERROR(OR(NOT(ISNUMBER($G202)),$G202&lt;0,MOD($G202,1)&lt;&gt;0),TRUE),"PEDIDOS PENDENTES INVÁLIDOS",IF(IFERROR(OR(NOT(ISNUMBER($R202)),$R202&gt;'Configurações'!$B$5),TRUE),"DATA INVÁLIDA","OK")))))))))))))</f>
        <v/>
      </c>
    </row>
    <row r="203">
      <c r="A203" s="21" t="n"/>
      <c r="B203" s="21" t="n"/>
      <c r="C203" s="27">
        <f>IFERROR(VLOOKUP($B203,'Estoque Central'!$A$6:$M$205,2,FALSE),"")</f>
        <v/>
      </c>
      <c r="D203" s="25">
        <f>IFERROR(VLOOKUP($B203,'Estoque Central'!$A$6:$M$205,3,FALSE),"")</f>
        <v/>
      </c>
      <c r="E203" s="21" t="n"/>
      <c r="F203" s="22" t="n"/>
      <c r="G203" s="22" t="n"/>
      <c r="H203" s="25">
        <f>IFERROR(VLOOKUP($E203,'Configurações'!$A$11:$F$20,2,FALSE),"")</f>
        <v/>
      </c>
      <c r="I203" s="28">
        <f>IFERROR(VLOOKUP($E203,'Configurações'!$A$11:$F$20,3,FALSE),"")</f>
        <v/>
      </c>
      <c r="J203" s="24">
        <f>IFERROR(VLOOKUP($E203,'Configurações'!$A$11:$F$20,4,FALSE),"")</f>
        <v/>
      </c>
      <c r="K203" s="24">
        <f>IFERROR(VLOOKUP($E203,'Configurações'!$A$11:$F$20,5,FALSE),"")</f>
        <v/>
      </c>
      <c r="L203" s="24">
        <f>IFERROR(VLOOKUP($B203,'Estoque Central'!$A$6:$M$205,9,FALSE),"")</f>
        <v/>
      </c>
      <c r="M203" s="24">
        <f>IF(COUNTA($A203:$B203,$E203:$G203,$R203)=0,"",IFERROR(IF(OR($C203="",$H203=""),"",IF(OR($D203&lt;&gt;"Ativo",$H203&lt;&gt;"Sim"),0,MIN(IF($J203="",$L203,$J203),ROUNDDOWN($L203*$I203,0)))),""))</f>
        <v/>
      </c>
      <c r="N203" s="24">
        <f>IF(OR($M203="",NOT(ISNUMBER($F203))),"",$M203-$F203)</f>
        <v/>
      </c>
      <c r="O203" s="25">
        <f>IF(COUNTA($A203:$B203,$E203:$G203,$R203)=0,"",IF($S203&lt;&gt;"OK","REVISAR CADASTRO",IF($N203&gt;0,"AUMENTAR",IF($N203&lt;0,"REDUZIR","SEM AÇÃO"))))</f>
        <v/>
      </c>
      <c r="P203" s="25">
        <f>IF(COUNTA($A203:$B203,$E203:$G203,$R203)=0,"",IF($S203&lt;&gt;"OK","REVISAR",IF(OR($D203&lt;&gt;"Ativo",$H203&lt;&gt;"Sim"),IF($F203&gt;0,"ALTO","SEM EXPOSIÇÃO"),IF(OR($F203&gt;$M203,SUMIFS($F$6:$F$305,$B$6:$B$305,$B203,$S$6:$S$305,"OK")&gt;$L203),"ALTO",IF(AND($F203&gt;0,$L203&lt;=$K203),"MÉDIO","BAIXO")))))</f>
        <v/>
      </c>
      <c r="Q203" s="25">
        <f>IF(COUNTA($A203:$B203,$E203:$G203,$R203)=0,"",IF($S203&lt;&gt;"OK","REVISAR",IF($O203="SEM AÇÃO","BAIXA",IF(OR($P203="ALTO",ABS($N203)&gt;='Configurações'!$B$3),"URGENTE",IF(OR($P203="MÉDIO",'Configurações'!$B$5-$R203&gt;'Configurações'!$B$4),"ALTA","NORMAL")))))</f>
        <v/>
      </c>
      <c r="R203" s="23" t="n"/>
      <c r="S203" s="25">
        <f>IF(COUNTA($A203:$B203,$E203:$G203,$R203)=0,"",IF($A203="","ID AUSENTE",IF(COUNTIF($A$6:$A$305,$A203)&gt;1,"ID DUPLICADO",IF($B203="","SKU AUSENTE",IF(COUNTIF('Estoque Central'!$A$6:$A$205,$B203)=0,"SKU NÃO CADASTRADO",IF(IFERROR(VLOOKUP($B203,'Estoque Central'!$A$6:$M$205,13,FALSE),"")&lt;&gt;"OK","ESTOQUE CENTRAL COM PENDÊNCIA",IF($E203="","CANAL AUSENTE",IF(COUNTIF('Configurações'!$A$11:$A$20,$E203)=0,"CANAL NÃO CONFIGURADO",IF(IFERROR(VLOOKUP($E203,'Configurações'!$A$11:$F$20,6,FALSE),"")&lt;&gt;"OK","CANAL COM PENDÊNCIA",IF(COUNTIFS($B$6:$B$305,$B203,$E$6:$E$305,$E203)&gt;1,"SKU/CANAL DUPLICADO",IF(IFERROR(OR(NOT(ISNUMBER($F203)),$F203&lt;0,MOD($F203,1)&lt;&gt;0),TRUE),"SALDO PUBLICADO INVÁLIDO",IF(IFERROR(OR(NOT(ISNUMBER($G203)),$G203&lt;0,MOD($G203,1)&lt;&gt;0),TRUE),"PEDIDOS PENDENTES INVÁLIDOS",IF(IFERROR(OR(NOT(ISNUMBER($R203)),$R203&gt;'Configurações'!$B$5),TRUE),"DATA INVÁLIDA","OK")))))))))))))</f>
        <v/>
      </c>
    </row>
    <row r="204">
      <c r="A204" s="21" t="n"/>
      <c r="B204" s="21" t="n"/>
      <c r="C204" s="27">
        <f>IFERROR(VLOOKUP($B204,'Estoque Central'!$A$6:$M$205,2,FALSE),"")</f>
        <v/>
      </c>
      <c r="D204" s="25">
        <f>IFERROR(VLOOKUP($B204,'Estoque Central'!$A$6:$M$205,3,FALSE),"")</f>
        <v/>
      </c>
      <c r="E204" s="21" t="n"/>
      <c r="F204" s="22" t="n"/>
      <c r="G204" s="22" t="n"/>
      <c r="H204" s="25">
        <f>IFERROR(VLOOKUP($E204,'Configurações'!$A$11:$F$20,2,FALSE),"")</f>
        <v/>
      </c>
      <c r="I204" s="28">
        <f>IFERROR(VLOOKUP($E204,'Configurações'!$A$11:$F$20,3,FALSE),"")</f>
        <v/>
      </c>
      <c r="J204" s="24">
        <f>IFERROR(VLOOKUP($E204,'Configurações'!$A$11:$F$20,4,FALSE),"")</f>
        <v/>
      </c>
      <c r="K204" s="24">
        <f>IFERROR(VLOOKUP($E204,'Configurações'!$A$11:$F$20,5,FALSE),"")</f>
        <v/>
      </c>
      <c r="L204" s="24">
        <f>IFERROR(VLOOKUP($B204,'Estoque Central'!$A$6:$M$205,9,FALSE),"")</f>
        <v/>
      </c>
      <c r="M204" s="24">
        <f>IF(COUNTA($A204:$B204,$E204:$G204,$R204)=0,"",IFERROR(IF(OR($C204="",$H204=""),"",IF(OR($D204&lt;&gt;"Ativo",$H204&lt;&gt;"Sim"),0,MIN(IF($J204="",$L204,$J204),ROUNDDOWN($L204*$I204,0)))),""))</f>
        <v/>
      </c>
      <c r="N204" s="24">
        <f>IF(OR($M204="",NOT(ISNUMBER($F204))),"",$M204-$F204)</f>
        <v/>
      </c>
      <c r="O204" s="25">
        <f>IF(COUNTA($A204:$B204,$E204:$G204,$R204)=0,"",IF($S204&lt;&gt;"OK","REVISAR CADASTRO",IF($N204&gt;0,"AUMENTAR",IF($N204&lt;0,"REDUZIR","SEM AÇÃO"))))</f>
        <v/>
      </c>
      <c r="P204" s="25">
        <f>IF(COUNTA($A204:$B204,$E204:$G204,$R204)=0,"",IF($S204&lt;&gt;"OK","REVISAR",IF(OR($D204&lt;&gt;"Ativo",$H204&lt;&gt;"Sim"),IF($F204&gt;0,"ALTO","SEM EXPOSIÇÃO"),IF(OR($F204&gt;$M204,SUMIFS($F$6:$F$305,$B$6:$B$305,$B204,$S$6:$S$305,"OK")&gt;$L204),"ALTO",IF(AND($F204&gt;0,$L204&lt;=$K204),"MÉDIO","BAIXO")))))</f>
        <v/>
      </c>
      <c r="Q204" s="25">
        <f>IF(COUNTA($A204:$B204,$E204:$G204,$R204)=0,"",IF($S204&lt;&gt;"OK","REVISAR",IF($O204="SEM AÇÃO","BAIXA",IF(OR($P204="ALTO",ABS($N204)&gt;='Configurações'!$B$3),"URGENTE",IF(OR($P204="MÉDIO",'Configurações'!$B$5-$R204&gt;'Configurações'!$B$4),"ALTA","NORMAL")))))</f>
        <v/>
      </c>
      <c r="R204" s="23" t="n"/>
      <c r="S204" s="25">
        <f>IF(COUNTA($A204:$B204,$E204:$G204,$R204)=0,"",IF($A204="","ID AUSENTE",IF(COUNTIF($A$6:$A$305,$A204)&gt;1,"ID DUPLICADO",IF($B204="","SKU AUSENTE",IF(COUNTIF('Estoque Central'!$A$6:$A$205,$B204)=0,"SKU NÃO CADASTRADO",IF(IFERROR(VLOOKUP($B204,'Estoque Central'!$A$6:$M$205,13,FALSE),"")&lt;&gt;"OK","ESTOQUE CENTRAL COM PENDÊNCIA",IF($E204="","CANAL AUSENTE",IF(COUNTIF('Configurações'!$A$11:$A$20,$E204)=0,"CANAL NÃO CONFIGURADO",IF(IFERROR(VLOOKUP($E204,'Configurações'!$A$11:$F$20,6,FALSE),"")&lt;&gt;"OK","CANAL COM PENDÊNCIA",IF(COUNTIFS($B$6:$B$305,$B204,$E$6:$E$305,$E204)&gt;1,"SKU/CANAL DUPLICADO",IF(IFERROR(OR(NOT(ISNUMBER($F204)),$F204&lt;0,MOD($F204,1)&lt;&gt;0),TRUE),"SALDO PUBLICADO INVÁLIDO",IF(IFERROR(OR(NOT(ISNUMBER($G204)),$G204&lt;0,MOD($G204,1)&lt;&gt;0),TRUE),"PEDIDOS PENDENTES INVÁLIDOS",IF(IFERROR(OR(NOT(ISNUMBER($R204)),$R204&gt;'Configurações'!$B$5),TRUE),"DATA INVÁLIDA","OK")))))))))))))</f>
        <v/>
      </c>
    </row>
    <row r="205">
      <c r="A205" s="21" t="n"/>
      <c r="B205" s="21" t="n"/>
      <c r="C205" s="27">
        <f>IFERROR(VLOOKUP($B205,'Estoque Central'!$A$6:$M$205,2,FALSE),"")</f>
        <v/>
      </c>
      <c r="D205" s="25">
        <f>IFERROR(VLOOKUP($B205,'Estoque Central'!$A$6:$M$205,3,FALSE),"")</f>
        <v/>
      </c>
      <c r="E205" s="21" t="n"/>
      <c r="F205" s="22" t="n"/>
      <c r="G205" s="22" t="n"/>
      <c r="H205" s="25">
        <f>IFERROR(VLOOKUP($E205,'Configurações'!$A$11:$F$20,2,FALSE),"")</f>
        <v/>
      </c>
      <c r="I205" s="28">
        <f>IFERROR(VLOOKUP($E205,'Configurações'!$A$11:$F$20,3,FALSE),"")</f>
        <v/>
      </c>
      <c r="J205" s="24">
        <f>IFERROR(VLOOKUP($E205,'Configurações'!$A$11:$F$20,4,FALSE),"")</f>
        <v/>
      </c>
      <c r="K205" s="24">
        <f>IFERROR(VLOOKUP($E205,'Configurações'!$A$11:$F$20,5,FALSE),"")</f>
        <v/>
      </c>
      <c r="L205" s="24">
        <f>IFERROR(VLOOKUP($B205,'Estoque Central'!$A$6:$M$205,9,FALSE),"")</f>
        <v/>
      </c>
      <c r="M205" s="24">
        <f>IF(COUNTA($A205:$B205,$E205:$G205,$R205)=0,"",IFERROR(IF(OR($C205="",$H205=""),"",IF(OR($D205&lt;&gt;"Ativo",$H205&lt;&gt;"Sim"),0,MIN(IF($J205="",$L205,$J205),ROUNDDOWN($L205*$I205,0)))),""))</f>
        <v/>
      </c>
      <c r="N205" s="24">
        <f>IF(OR($M205="",NOT(ISNUMBER($F205))),"",$M205-$F205)</f>
        <v/>
      </c>
      <c r="O205" s="25">
        <f>IF(COUNTA($A205:$B205,$E205:$G205,$R205)=0,"",IF($S205&lt;&gt;"OK","REVISAR CADASTRO",IF($N205&gt;0,"AUMENTAR",IF($N205&lt;0,"REDUZIR","SEM AÇÃO"))))</f>
        <v/>
      </c>
      <c r="P205" s="25">
        <f>IF(COUNTA($A205:$B205,$E205:$G205,$R205)=0,"",IF($S205&lt;&gt;"OK","REVISAR",IF(OR($D205&lt;&gt;"Ativo",$H205&lt;&gt;"Sim"),IF($F205&gt;0,"ALTO","SEM EXPOSIÇÃO"),IF(OR($F205&gt;$M205,SUMIFS($F$6:$F$305,$B$6:$B$305,$B205,$S$6:$S$305,"OK")&gt;$L205),"ALTO",IF(AND($F205&gt;0,$L205&lt;=$K205),"MÉDIO","BAIXO")))))</f>
        <v/>
      </c>
      <c r="Q205" s="25">
        <f>IF(COUNTA($A205:$B205,$E205:$G205,$R205)=0,"",IF($S205&lt;&gt;"OK","REVISAR",IF($O205="SEM AÇÃO","BAIXA",IF(OR($P205="ALTO",ABS($N205)&gt;='Configurações'!$B$3),"URGENTE",IF(OR($P205="MÉDIO",'Configurações'!$B$5-$R205&gt;'Configurações'!$B$4),"ALTA","NORMAL")))))</f>
        <v/>
      </c>
      <c r="R205" s="23" t="n"/>
      <c r="S205" s="25">
        <f>IF(COUNTA($A205:$B205,$E205:$G205,$R205)=0,"",IF($A205="","ID AUSENTE",IF(COUNTIF($A$6:$A$305,$A205)&gt;1,"ID DUPLICADO",IF($B205="","SKU AUSENTE",IF(COUNTIF('Estoque Central'!$A$6:$A$205,$B205)=0,"SKU NÃO CADASTRADO",IF(IFERROR(VLOOKUP($B205,'Estoque Central'!$A$6:$M$205,13,FALSE),"")&lt;&gt;"OK","ESTOQUE CENTRAL COM PENDÊNCIA",IF($E205="","CANAL AUSENTE",IF(COUNTIF('Configurações'!$A$11:$A$20,$E205)=0,"CANAL NÃO CONFIGURADO",IF(IFERROR(VLOOKUP($E205,'Configurações'!$A$11:$F$20,6,FALSE),"")&lt;&gt;"OK","CANAL COM PENDÊNCIA",IF(COUNTIFS($B$6:$B$305,$B205,$E$6:$E$305,$E205)&gt;1,"SKU/CANAL DUPLICADO",IF(IFERROR(OR(NOT(ISNUMBER($F205)),$F205&lt;0,MOD($F205,1)&lt;&gt;0),TRUE),"SALDO PUBLICADO INVÁLIDO",IF(IFERROR(OR(NOT(ISNUMBER($G205)),$G205&lt;0,MOD($G205,1)&lt;&gt;0),TRUE),"PEDIDOS PENDENTES INVÁLIDOS",IF(IFERROR(OR(NOT(ISNUMBER($R205)),$R205&gt;'Configurações'!$B$5),TRUE),"DATA INVÁLIDA","OK")))))))))))))</f>
        <v/>
      </c>
    </row>
    <row r="206">
      <c r="A206" s="21" t="n"/>
      <c r="B206" s="21" t="n"/>
      <c r="C206" s="27">
        <f>IFERROR(VLOOKUP($B206,'Estoque Central'!$A$6:$M$205,2,FALSE),"")</f>
        <v/>
      </c>
      <c r="D206" s="25">
        <f>IFERROR(VLOOKUP($B206,'Estoque Central'!$A$6:$M$205,3,FALSE),"")</f>
        <v/>
      </c>
      <c r="E206" s="21" t="n"/>
      <c r="F206" s="22" t="n"/>
      <c r="G206" s="22" t="n"/>
      <c r="H206" s="25">
        <f>IFERROR(VLOOKUP($E206,'Configurações'!$A$11:$F$20,2,FALSE),"")</f>
        <v/>
      </c>
      <c r="I206" s="28">
        <f>IFERROR(VLOOKUP($E206,'Configurações'!$A$11:$F$20,3,FALSE),"")</f>
        <v/>
      </c>
      <c r="J206" s="24">
        <f>IFERROR(VLOOKUP($E206,'Configurações'!$A$11:$F$20,4,FALSE),"")</f>
        <v/>
      </c>
      <c r="K206" s="24">
        <f>IFERROR(VLOOKUP($E206,'Configurações'!$A$11:$F$20,5,FALSE),"")</f>
        <v/>
      </c>
      <c r="L206" s="24">
        <f>IFERROR(VLOOKUP($B206,'Estoque Central'!$A$6:$M$205,9,FALSE),"")</f>
        <v/>
      </c>
      <c r="M206" s="24">
        <f>IF(COUNTA($A206:$B206,$E206:$G206,$R206)=0,"",IFERROR(IF(OR($C206="",$H206=""),"",IF(OR($D206&lt;&gt;"Ativo",$H206&lt;&gt;"Sim"),0,MIN(IF($J206="",$L206,$J206),ROUNDDOWN($L206*$I206,0)))),""))</f>
        <v/>
      </c>
      <c r="N206" s="24">
        <f>IF(OR($M206="",NOT(ISNUMBER($F206))),"",$M206-$F206)</f>
        <v/>
      </c>
      <c r="O206" s="25">
        <f>IF(COUNTA($A206:$B206,$E206:$G206,$R206)=0,"",IF($S206&lt;&gt;"OK","REVISAR CADASTRO",IF($N206&gt;0,"AUMENTAR",IF($N206&lt;0,"REDUZIR","SEM AÇÃO"))))</f>
        <v/>
      </c>
      <c r="P206" s="25">
        <f>IF(COUNTA($A206:$B206,$E206:$G206,$R206)=0,"",IF($S206&lt;&gt;"OK","REVISAR",IF(OR($D206&lt;&gt;"Ativo",$H206&lt;&gt;"Sim"),IF($F206&gt;0,"ALTO","SEM EXPOSIÇÃO"),IF(OR($F206&gt;$M206,SUMIFS($F$6:$F$305,$B$6:$B$305,$B206,$S$6:$S$305,"OK")&gt;$L206),"ALTO",IF(AND($F206&gt;0,$L206&lt;=$K206),"MÉDIO","BAIXO")))))</f>
        <v/>
      </c>
      <c r="Q206" s="25">
        <f>IF(COUNTA($A206:$B206,$E206:$G206,$R206)=0,"",IF($S206&lt;&gt;"OK","REVISAR",IF($O206="SEM AÇÃO","BAIXA",IF(OR($P206="ALTO",ABS($N206)&gt;='Configurações'!$B$3),"URGENTE",IF(OR($P206="MÉDIO",'Configurações'!$B$5-$R206&gt;'Configurações'!$B$4),"ALTA","NORMAL")))))</f>
        <v/>
      </c>
      <c r="R206" s="23" t="n"/>
      <c r="S206" s="25">
        <f>IF(COUNTA($A206:$B206,$E206:$G206,$R206)=0,"",IF($A206="","ID AUSENTE",IF(COUNTIF($A$6:$A$305,$A206)&gt;1,"ID DUPLICADO",IF($B206="","SKU AUSENTE",IF(COUNTIF('Estoque Central'!$A$6:$A$205,$B206)=0,"SKU NÃO CADASTRADO",IF(IFERROR(VLOOKUP($B206,'Estoque Central'!$A$6:$M$205,13,FALSE),"")&lt;&gt;"OK","ESTOQUE CENTRAL COM PENDÊNCIA",IF($E206="","CANAL AUSENTE",IF(COUNTIF('Configurações'!$A$11:$A$20,$E206)=0,"CANAL NÃO CONFIGURADO",IF(IFERROR(VLOOKUP($E206,'Configurações'!$A$11:$F$20,6,FALSE),"")&lt;&gt;"OK","CANAL COM PENDÊNCIA",IF(COUNTIFS($B$6:$B$305,$B206,$E$6:$E$305,$E206)&gt;1,"SKU/CANAL DUPLICADO",IF(IFERROR(OR(NOT(ISNUMBER($F206)),$F206&lt;0,MOD($F206,1)&lt;&gt;0),TRUE),"SALDO PUBLICADO INVÁLIDO",IF(IFERROR(OR(NOT(ISNUMBER($G206)),$G206&lt;0,MOD($G206,1)&lt;&gt;0),TRUE),"PEDIDOS PENDENTES INVÁLIDOS",IF(IFERROR(OR(NOT(ISNUMBER($R206)),$R206&gt;'Configurações'!$B$5),TRUE),"DATA INVÁLIDA","OK")))))))))))))</f>
        <v/>
      </c>
    </row>
    <row r="207">
      <c r="A207" s="21" t="n"/>
      <c r="B207" s="21" t="n"/>
      <c r="C207" s="27">
        <f>IFERROR(VLOOKUP($B207,'Estoque Central'!$A$6:$M$205,2,FALSE),"")</f>
        <v/>
      </c>
      <c r="D207" s="25">
        <f>IFERROR(VLOOKUP($B207,'Estoque Central'!$A$6:$M$205,3,FALSE),"")</f>
        <v/>
      </c>
      <c r="E207" s="21" t="n"/>
      <c r="F207" s="22" t="n"/>
      <c r="G207" s="22" t="n"/>
      <c r="H207" s="25">
        <f>IFERROR(VLOOKUP($E207,'Configurações'!$A$11:$F$20,2,FALSE),"")</f>
        <v/>
      </c>
      <c r="I207" s="28">
        <f>IFERROR(VLOOKUP($E207,'Configurações'!$A$11:$F$20,3,FALSE),"")</f>
        <v/>
      </c>
      <c r="J207" s="24">
        <f>IFERROR(VLOOKUP($E207,'Configurações'!$A$11:$F$20,4,FALSE),"")</f>
        <v/>
      </c>
      <c r="K207" s="24">
        <f>IFERROR(VLOOKUP($E207,'Configurações'!$A$11:$F$20,5,FALSE),"")</f>
        <v/>
      </c>
      <c r="L207" s="24">
        <f>IFERROR(VLOOKUP($B207,'Estoque Central'!$A$6:$M$205,9,FALSE),"")</f>
        <v/>
      </c>
      <c r="M207" s="24">
        <f>IF(COUNTA($A207:$B207,$E207:$G207,$R207)=0,"",IFERROR(IF(OR($C207="",$H207=""),"",IF(OR($D207&lt;&gt;"Ativo",$H207&lt;&gt;"Sim"),0,MIN(IF($J207="",$L207,$J207),ROUNDDOWN($L207*$I207,0)))),""))</f>
        <v/>
      </c>
      <c r="N207" s="24">
        <f>IF(OR($M207="",NOT(ISNUMBER($F207))),"",$M207-$F207)</f>
        <v/>
      </c>
      <c r="O207" s="25">
        <f>IF(COUNTA($A207:$B207,$E207:$G207,$R207)=0,"",IF($S207&lt;&gt;"OK","REVISAR CADASTRO",IF($N207&gt;0,"AUMENTAR",IF($N207&lt;0,"REDUZIR","SEM AÇÃO"))))</f>
        <v/>
      </c>
      <c r="P207" s="25">
        <f>IF(COUNTA($A207:$B207,$E207:$G207,$R207)=0,"",IF($S207&lt;&gt;"OK","REVISAR",IF(OR($D207&lt;&gt;"Ativo",$H207&lt;&gt;"Sim"),IF($F207&gt;0,"ALTO","SEM EXPOSIÇÃO"),IF(OR($F207&gt;$M207,SUMIFS($F$6:$F$305,$B$6:$B$305,$B207,$S$6:$S$305,"OK")&gt;$L207),"ALTO",IF(AND($F207&gt;0,$L207&lt;=$K207),"MÉDIO","BAIXO")))))</f>
        <v/>
      </c>
      <c r="Q207" s="25">
        <f>IF(COUNTA($A207:$B207,$E207:$G207,$R207)=0,"",IF($S207&lt;&gt;"OK","REVISAR",IF($O207="SEM AÇÃO","BAIXA",IF(OR($P207="ALTO",ABS($N207)&gt;='Configurações'!$B$3),"URGENTE",IF(OR($P207="MÉDIO",'Configurações'!$B$5-$R207&gt;'Configurações'!$B$4),"ALTA","NORMAL")))))</f>
        <v/>
      </c>
      <c r="R207" s="23" t="n"/>
      <c r="S207" s="25">
        <f>IF(COUNTA($A207:$B207,$E207:$G207,$R207)=0,"",IF($A207="","ID AUSENTE",IF(COUNTIF($A$6:$A$305,$A207)&gt;1,"ID DUPLICADO",IF($B207="","SKU AUSENTE",IF(COUNTIF('Estoque Central'!$A$6:$A$205,$B207)=0,"SKU NÃO CADASTRADO",IF(IFERROR(VLOOKUP($B207,'Estoque Central'!$A$6:$M$205,13,FALSE),"")&lt;&gt;"OK","ESTOQUE CENTRAL COM PENDÊNCIA",IF($E207="","CANAL AUSENTE",IF(COUNTIF('Configurações'!$A$11:$A$20,$E207)=0,"CANAL NÃO CONFIGURADO",IF(IFERROR(VLOOKUP($E207,'Configurações'!$A$11:$F$20,6,FALSE),"")&lt;&gt;"OK","CANAL COM PENDÊNCIA",IF(COUNTIFS($B$6:$B$305,$B207,$E$6:$E$305,$E207)&gt;1,"SKU/CANAL DUPLICADO",IF(IFERROR(OR(NOT(ISNUMBER($F207)),$F207&lt;0,MOD($F207,1)&lt;&gt;0),TRUE),"SALDO PUBLICADO INVÁLIDO",IF(IFERROR(OR(NOT(ISNUMBER($G207)),$G207&lt;0,MOD($G207,1)&lt;&gt;0),TRUE),"PEDIDOS PENDENTES INVÁLIDOS",IF(IFERROR(OR(NOT(ISNUMBER($R207)),$R207&gt;'Configurações'!$B$5),TRUE),"DATA INVÁLIDA","OK")))))))))))))</f>
        <v/>
      </c>
    </row>
    <row r="208">
      <c r="A208" s="21" t="n"/>
      <c r="B208" s="21" t="n"/>
      <c r="C208" s="27">
        <f>IFERROR(VLOOKUP($B208,'Estoque Central'!$A$6:$M$205,2,FALSE),"")</f>
        <v/>
      </c>
      <c r="D208" s="25">
        <f>IFERROR(VLOOKUP($B208,'Estoque Central'!$A$6:$M$205,3,FALSE),"")</f>
        <v/>
      </c>
      <c r="E208" s="21" t="n"/>
      <c r="F208" s="22" t="n"/>
      <c r="G208" s="22" t="n"/>
      <c r="H208" s="25">
        <f>IFERROR(VLOOKUP($E208,'Configurações'!$A$11:$F$20,2,FALSE),"")</f>
        <v/>
      </c>
      <c r="I208" s="28">
        <f>IFERROR(VLOOKUP($E208,'Configurações'!$A$11:$F$20,3,FALSE),"")</f>
        <v/>
      </c>
      <c r="J208" s="24">
        <f>IFERROR(VLOOKUP($E208,'Configurações'!$A$11:$F$20,4,FALSE),"")</f>
        <v/>
      </c>
      <c r="K208" s="24">
        <f>IFERROR(VLOOKUP($E208,'Configurações'!$A$11:$F$20,5,FALSE),"")</f>
        <v/>
      </c>
      <c r="L208" s="24">
        <f>IFERROR(VLOOKUP($B208,'Estoque Central'!$A$6:$M$205,9,FALSE),"")</f>
        <v/>
      </c>
      <c r="M208" s="24">
        <f>IF(COUNTA($A208:$B208,$E208:$G208,$R208)=0,"",IFERROR(IF(OR($C208="",$H208=""),"",IF(OR($D208&lt;&gt;"Ativo",$H208&lt;&gt;"Sim"),0,MIN(IF($J208="",$L208,$J208),ROUNDDOWN($L208*$I208,0)))),""))</f>
        <v/>
      </c>
      <c r="N208" s="24">
        <f>IF(OR($M208="",NOT(ISNUMBER($F208))),"",$M208-$F208)</f>
        <v/>
      </c>
      <c r="O208" s="25">
        <f>IF(COUNTA($A208:$B208,$E208:$G208,$R208)=0,"",IF($S208&lt;&gt;"OK","REVISAR CADASTRO",IF($N208&gt;0,"AUMENTAR",IF($N208&lt;0,"REDUZIR","SEM AÇÃO"))))</f>
        <v/>
      </c>
      <c r="P208" s="25">
        <f>IF(COUNTA($A208:$B208,$E208:$G208,$R208)=0,"",IF($S208&lt;&gt;"OK","REVISAR",IF(OR($D208&lt;&gt;"Ativo",$H208&lt;&gt;"Sim"),IF($F208&gt;0,"ALTO","SEM EXPOSIÇÃO"),IF(OR($F208&gt;$M208,SUMIFS($F$6:$F$305,$B$6:$B$305,$B208,$S$6:$S$305,"OK")&gt;$L208),"ALTO",IF(AND($F208&gt;0,$L208&lt;=$K208),"MÉDIO","BAIXO")))))</f>
        <v/>
      </c>
      <c r="Q208" s="25">
        <f>IF(COUNTA($A208:$B208,$E208:$G208,$R208)=0,"",IF($S208&lt;&gt;"OK","REVISAR",IF($O208="SEM AÇÃO","BAIXA",IF(OR($P208="ALTO",ABS($N208)&gt;='Configurações'!$B$3),"URGENTE",IF(OR($P208="MÉDIO",'Configurações'!$B$5-$R208&gt;'Configurações'!$B$4),"ALTA","NORMAL")))))</f>
        <v/>
      </c>
      <c r="R208" s="23" t="n"/>
      <c r="S208" s="25">
        <f>IF(COUNTA($A208:$B208,$E208:$G208,$R208)=0,"",IF($A208="","ID AUSENTE",IF(COUNTIF($A$6:$A$305,$A208)&gt;1,"ID DUPLICADO",IF($B208="","SKU AUSENTE",IF(COUNTIF('Estoque Central'!$A$6:$A$205,$B208)=0,"SKU NÃO CADASTRADO",IF(IFERROR(VLOOKUP($B208,'Estoque Central'!$A$6:$M$205,13,FALSE),"")&lt;&gt;"OK","ESTOQUE CENTRAL COM PENDÊNCIA",IF($E208="","CANAL AUSENTE",IF(COUNTIF('Configurações'!$A$11:$A$20,$E208)=0,"CANAL NÃO CONFIGURADO",IF(IFERROR(VLOOKUP($E208,'Configurações'!$A$11:$F$20,6,FALSE),"")&lt;&gt;"OK","CANAL COM PENDÊNCIA",IF(COUNTIFS($B$6:$B$305,$B208,$E$6:$E$305,$E208)&gt;1,"SKU/CANAL DUPLICADO",IF(IFERROR(OR(NOT(ISNUMBER($F208)),$F208&lt;0,MOD($F208,1)&lt;&gt;0),TRUE),"SALDO PUBLICADO INVÁLIDO",IF(IFERROR(OR(NOT(ISNUMBER($G208)),$G208&lt;0,MOD($G208,1)&lt;&gt;0),TRUE),"PEDIDOS PENDENTES INVÁLIDOS",IF(IFERROR(OR(NOT(ISNUMBER($R208)),$R208&gt;'Configurações'!$B$5),TRUE),"DATA INVÁLIDA","OK")))))))))))))</f>
        <v/>
      </c>
    </row>
    <row r="209">
      <c r="A209" s="21" t="n"/>
      <c r="B209" s="21" t="n"/>
      <c r="C209" s="27">
        <f>IFERROR(VLOOKUP($B209,'Estoque Central'!$A$6:$M$205,2,FALSE),"")</f>
        <v/>
      </c>
      <c r="D209" s="25">
        <f>IFERROR(VLOOKUP($B209,'Estoque Central'!$A$6:$M$205,3,FALSE),"")</f>
        <v/>
      </c>
      <c r="E209" s="21" t="n"/>
      <c r="F209" s="22" t="n"/>
      <c r="G209" s="22" t="n"/>
      <c r="H209" s="25">
        <f>IFERROR(VLOOKUP($E209,'Configurações'!$A$11:$F$20,2,FALSE),"")</f>
        <v/>
      </c>
      <c r="I209" s="28">
        <f>IFERROR(VLOOKUP($E209,'Configurações'!$A$11:$F$20,3,FALSE),"")</f>
        <v/>
      </c>
      <c r="J209" s="24">
        <f>IFERROR(VLOOKUP($E209,'Configurações'!$A$11:$F$20,4,FALSE),"")</f>
        <v/>
      </c>
      <c r="K209" s="24">
        <f>IFERROR(VLOOKUP($E209,'Configurações'!$A$11:$F$20,5,FALSE),"")</f>
        <v/>
      </c>
      <c r="L209" s="24">
        <f>IFERROR(VLOOKUP($B209,'Estoque Central'!$A$6:$M$205,9,FALSE),"")</f>
        <v/>
      </c>
      <c r="M209" s="24">
        <f>IF(COUNTA($A209:$B209,$E209:$G209,$R209)=0,"",IFERROR(IF(OR($C209="",$H209=""),"",IF(OR($D209&lt;&gt;"Ativo",$H209&lt;&gt;"Sim"),0,MIN(IF($J209="",$L209,$J209),ROUNDDOWN($L209*$I209,0)))),""))</f>
        <v/>
      </c>
      <c r="N209" s="24">
        <f>IF(OR($M209="",NOT(ISNUMBER($F209))),"",$M209-$F209)</f>
        <v/>
      </c>
      <c r="O209" s="25">
        <f>IF(COUNTA($A209:$B209,$E209:$G209,$R209)=0,"",IF($S209&lt;&gt;"OK","REVISAR CADASTRO",IF($N209&gt;0,"AUMENTAR",IF($N209&lt;0,"REDUZIR","SEM AÇÃO"))))</f>
        <v/>
      </c>
      <c r="P209" s="25">
        <f>IF(COUNTA($A209:$B209,$E209:$G209,$R209)=0,"",IF($S209&lt;&gt;"OK","REVISAR",IF(OR($D209&lt;&gt;"Ativo",$H209&lt;&gt;"Sim"),IF($F209&gt;0,"ALTO","SEM EXPOSIÇÃO"),IF(OR($F209&gt;$M209,SUMIFS($F$6:$F$305,$B$6:$B$305,$B209,$S$6:$S$305,"OK")&gt;$L209),"ALTO",IF(AND($F209&gt;0,$L209&lt;=$K209),"MÉDIO","BAIXO")))))</f>
        <v/>
      </c>
      <c r="Q209" s="25">
        <f>IF(COUNTA($A209:$B209,$E209:$G209,$R209)=0,"",IF($S209&lt;&gt;"OK","REVISAR",IF($O209="SEM AÇÃO","BAIXA",IF(OR($P209="ALTO",ABS($N209)&gt;='Configurações'!$B$3),"URGENTE",IF(OR($P209="MÉDIO",'Configurações'!$B$5-$R209&gt;'Configurações'!$B$4),"ALTA","NORMAL")))))</f>
        <v/>
      </c>
      <c r="R209" s="23" t="n"/>
      <c r="S209" s="25">
        <f>IF(COUNTA($A209:$B209,$E209:$G209,$R209)=0,"",IF($A209="","ID AUSENTE",IF(COUNTIF($A$6:$A$305,$A209)&gt;1,"ID DUPLICADO",IF($B209="","SKU AUSENTE",IF(COUNTIF('Estoque Central'!$A$6:$A$205,$B209)=0,"SKU NÃO CADASTRADO",IF(IFERROR(VLOOKUP($B209,'Estoque Central'!$A$6:$M$205,13,FALSE),"")&lt;&gt;"OK","ESTOQUE CENTRAL COM PENDÊNCIA",IF($E209="","CANAL AUSENTE",IF(COUNTIF('Configurações'!$A$11:$A$20,$E209)=0,"CANAL NÃO CONFIGURADO",IF(IFERROR(VLOOKUP($E209,'Configurações'!$A$11:$F$20,6,FALSE),"")&lt;&gt;"OK","CANAL COM PENDÊNCIA",IF(COUNTIFS($B$6:$B$305,$B209,$E$6:$E$305,$E209)&gt;1,"SKU/CANAL DUPLICADO",IF(IFERROR(OR(NOT(ISNUMBER($F209)),$F209&lt;0,MOD($F209,1)&lt;&gt;0),TRUE),"SALDO PUBLICADO INVÁLIDO",IF(IFERROR(OR(NOT(ISNUMBER($G209)),$G209&lt;0,MOD($G209,1)&lt;&gt;0),TRUE),"PEDIDOS PENDENTES INVÁLIDOS",IF(IFERROR(OR(NOT(ISNUMBER($R209)),$R209&gt;'Configurações'!$B$5),TRUE),"DATA INVÁLIDA","OK")))))))))))))</f>
        <v/>
      </c>
    </row>
    <row r="210">
      <c r="A210" s="21" t="n"/>
      <c r="B210" s="21" t="n"/>
      <c r="C210" s="27">
        <f>IFERROR(VLOOKUP($B210,'Estoque Central'!$A$6:$M$205,2,FALSE),"")</f>
        <v/>
      </c>
      <c r="D210" s="25">
        <f>IFERROR(VLOOKUP($B210,'Estoque Central'!$A$6:$M$205,3,FALSE),"")</f>
        <v/>
      </c>
      <c r="E210" s="21" t="n"/>
      <c r="F210" s="22" t="n"/>
      <c r="G210" s="22" t="n"/>
      <c r="H210" s="25">
        <f>IFERROR(VLOOKUP($E210,'Configurações'!$A$11:$F$20,2,FALSE),"")</f>
        <v/>
      </c>
      <c r="I210" s="28">
        <f>IFERROR(VLOOKUP($E210,'Configurações'!$A$11:$F$20,3,FALSE),"")</f>
        <v/>
      </c>
      <c r="J210" s="24">
        <f>IFERROR(VLOOKUP($E210,'Configurações'!$A$11:$F$20,4,FALSE),"")</f>
        <v/>
      </c>
      <c r="K210" s="24">
        <f>IFERROR(VLOOKUP($E210,'Configurações'!$A$11:$F$20,5,FALSE),"")</f>
        <v/>
      </c>
      <c r="L210" s="24">
        <f>IFERROR(VLOOKUP($B210,'Estoque Central'!$A$6:$M$205,9,FALSE),"")</f>
        <v/>
      </c>
      <c r="M210" s="24">
        <f>IF(COUNTA($A210:$B210,$E210:$G210,$R210)=0,"",IFERROR(IF(OR($C210="",$H210=""),"",IF(OR($D210&lt;&gt;"Ativo",$H210&lt;&gt;"Sim"),0,MIN(IF($J210="",$L210,$J210),ROUNDDOWN($L210*$I210,0)))),""))</f>
        <v/>
      </c>
      <c r="N210" s="24">
        <f>IF(OR($M210="",NOT(ISNUMBER($F210))),"",$M210-$F210)</f>
        <v/>
      </c>
      <c r="O210" s="25">
        <f>IF(COUNTA($A210:$B210,$E210:$G210,$R210)=0,"",IF($S210&lt;&gt;"OK","REVISAR CADASTRO",IF($N210&gt;0,"AUMENTAR",IF($N210&lt;0,"REDUZIR","SEM AÇÃO"))))</f>
        <v/>
      </c>
      <c r="P210" s="25">
        <f>IF(COUNTA($A210:$B210,$E210:$G210,$R210)=0,"",IF($S210&lt;&gt;"OK","REVISAR",IF(OR($D210&lt;&gt;"Ativo",$H210&lt;&gt;"Sim"),IF($F210&gt;0,"ALTO","SEM EXPOSIÇÃO"),IF(OR($F210&gt;$M210,SUMIFS($F$6:$F$305,$B$6:$B$305,$B210,$S$6:$S$305,"OK")&gt;$L210),"ALTO",IF(AND($F210&gt;0,$L210&lt;=$K210),"MÉDIO","BAIXO")))))</f>
        <v/>
      </c>
      <c r="Q210" s="25">
        <f>IF(COUNTA($A210:$B210,$E210:$G210,$R210)=0,"",IF($S210&lt;&gt;"OK","REVISAR",IF($O210="SEM AÇÃO","BAIXA",IF(OR($P210="ALTO",ABS($N210)&gt;='Configurações'!$B$3),"URGENTE",IF(OR($P210="MÉDIO",'Configurações'!$B$5-$R210&gt;'Configurações'!$B$4),"ALTA","NORMAL")))))</f>
        <v/>
      </c>
      <c r="R210" s="23" t="n"/>
      <c r="S210" s="25">
        <f>IF(COUNTA($A210:$B210,$E210:$G210,$R210)=0,"",IF($A210="","ID AUSENTE",IF(COUNTIF($A$6:$A$305,$A210)&gt;1,"ID DUPLICADO",IF($B210="","SKU AUSENTE",IF(COUNTIF('Estoque Central'!$A$6:$A$205,$B210)=0,"SKU NÃO CADASTRADO",IF(IFERROR(VLOOKUP($B210,'Estoque Central'!$A$6:$M$205,13,FALSE),"")&lt;&gt;"OK","ESTOQUE CENTRAL COM PENDÊNCIA",IF($E210="","CANAL AUSENTE",IF(COUNTIF('Configurações'!$A$11:$A$20,$E210)=0,"CANAL NÃO CONFIGURADO",IF(IFERROR(VLOOKUP($E210,'Configurações'!$A$11:$F$20,6,FALSE),"")&lt;&gt;"OK","CANAL COM PENDÊNCIA",IF(COUNTIFS($B$6:$B$305,$B210,$E$6:$E$305,$E210)&gt;1,"SKU/CANAL DUPLICADO",IF(IFERROR(OR(NOT(ISNUMBER($F210)),$F210&lt;0,MOD($F210,1)&lt;&gt;0),TRUE),"SALDO PUBLICADO INVÁLIDO",IF(IFERROR(OR(NOT(ISNUMBER($G210)),$G210&lt;0,MOD($G210,1)&lt;&gt;0),TRUE),"PEDIDOS PENDENTES INVÁLIDOS",IF(IFERROR(OR(NOT(ISNUMBER($R210)),$R210&gt;'Configurações'!$B$5),TRUE),"DATA INVÁLIDA","OK")))))))))))))</f>
        <v/>
      </c>
    </row>
    <row r="211">
      <c r="A211" s="21" t="n"/>
      <c r="B211" s="21" t="n"/>
      <c r="C211" s="27">
        <f>IFERROR(VLOOKUP($B211,'Estoque Central'!$A$6:$M$205,2,FALSE),"")</f>
        <v/>
      </c>
      <c r="D211" s="25">
        <f>IFERROR(VLOOKUP($B211,'Estoque Central'!$A$6:$M$205,3,FALSE),"")</f>
        <v/>
      </c>
      <c r="E211" s="21" t="n"/>
      <c r="F211" s="22" t="n"/>
      <c r="G211" s="22" t="n"/>
      <c r="H211" s="25">
        <f>IFERROR(VLOOKUP($E211,'Configurações'!$A$11:$F$20,2,FALSE),"")</f>
        <v/>
      </c>
      <c r="I211" s="28">
        <f>IFERROR(VLOOKUP($E211,'Configurações'!$A$11:$F$20,3,FALSE),"")</f>
        <v/>
      </c>
      <c r="J211" s="24">
        <f>IFERROR(VLOOKUP($E211,'Configurações'!$A$11:$F$20,4,FALSE),"")</f>
        <v/>
      </c>
      <c r="K211" s="24">
        <f>IFERROR(VLOOKUP($E211,'Configurações'!$A$11:$F$20,5,FALSE),"")</f>
        <v/>
      </c>
      <c r="L211" s="24">
        <f>IFERROR(VLOOKUP($B211,'Estoque Central'!$A$6:$M$205,9,FALSE),"")</f>
        <v/>
      </c>
      <c r="M211" s="24">
        <f>IF(COUNTA($A211:$B211,$E211:$G211,$R211)=0,"",IFERROR(IF(OR($C211="",$H211=""),"",IF(OR($D211&lt;&gt;"Ativo",$H211&lt;&gt;"Sim"),0,MIN(IF($J211="",$L211,$J211),ROUNDDOWN($L211*$I211,0)))),""))</f>
        <v/>
      </c>
      <c r="N211" s="24">
        <f>IF(OR($M211="",NOT(ISNUMBER($F211))),"",$M211-$F211)</f>
        <v/>
      </c>
      <c r="O211" s="25">
        <f>IF(COUNTA($A211:$B211,$E211:$G211,$R211)=0,"",IF($S211&lt;&gt;"OK","REVISAR CADASTRO",IF($N211&gt;0,"AUMENTAR",IF($N211&lt;0,"REDUZIR","SEM AÇÃO"))))</f>
        <v/>
      </c>
      <c r="P211" s="25">
        <f>IF(COUNTA($A211:$B211,$E211:$G211,$R211)=0,"",IF($S211&lt;&gt;"OK","REVISAR",IF(OR($D211&lt;&gt;"Ativo",$H211&lt;&gt;"Sim"),IF($F211&gt;0,"ALTO","SEM EXPOSIÇÃO"),IF(OR($F211&gt;$M211,SUMIFS($F$6:$F$305,$B$6:$B$305,$B211,$S$6:$S$305,"OK")&gt;$L211),"ALTO",IF(AND($F211&gt;0,$L211&lt;=$K211),"MÉDIO","BAIXO")))))</f>
        <v/>
      </c>
      <c r="Q211" s="25">
        <f>IF(COUNTA($A211:$B211,$E211:$G211,$R211)=0,"",IF($S211&lt;&gt;"OK","REVISAR",IF($O211="SEM AÇÃO","BAIXA",IF(OR($P211="ALTO",ABS($N211)&gt;='Configurações'!$B$3),"URGENTE",IF(OR($P211="MÉDIO",'Configurações'!$B$5-$R211&gt;'Configurações'!$B$4),"ALTA","NORMAL")))))</f>
        <v/>
      </c>
      <c r="R211" s="23" t="n"/>
      <c r="S211" s="25">
        <f>IF(COUNTA($A211:$B211,$E211:$G211,$R211)=0,"",IF($A211="","ID AUSENTE",IF(COUNTIF($A$6:$A$305,$A211)&gt;1,"ID DUPLICADO",IF($B211="","SKU AUSENTE",IF(COUNTIF('Estoque Central'!$A$6:$A$205,$B211)=0,"SKU NÃO CADASTRADO",IF(IFERROR(VLOOKUP($B211,'Estoque Central'!$A$6:$M$205,13,FALSE),"")&lt;&gt;"OK","ESTOQUE CENTRAL COM PENDÊNCIA",IF($E211="","CANAL AUSENTE",IF(COUNTIF('Configurações'!$A$11:$A$20,$E211)=0,"CANAL NÃO CONFIGURADO",IF(IFERROR(VLOOKUP($E211,'Configurações'!$A$11:$F$20,6,FALSE),"")&lt;&gt;"OK","CANAL COM PENDÊNCIA",IF(COUNTIFS($B$6:$B$305,$B211,$E$6:$E$305,$E211)&gt;1,"SKU/CANAL DUPLICADO",IF(IFERROR(OR(NOT(ISNUMBER($F211)),$F211&lt;0,MOD($F211,1)&lt;&gt;0),TRUE),"SALDO PUBLICADO INVÁLIDO",IF(IFERROR(OR(NOT(ISNUMBER($G211)),$G211&lt;0,MOD($G211,1)&lt;&gt;0),TRUE),"PEDIDOS PENDENTES INVÁLIDOS",IF(IFERROR(OR(NOT(ISNUMBER($R211)),$R211&gt;'Configurações'!$B$5),TRUE),"DATA INVÁLIDA","OK")))))))))))))</f>
        <v/>
      </c>
    </row>
    <row r="212">
      <c r="A212" s="21" t="n"/>
      <c r="B212" s="21" t="n"/>
      <c r="C212" s="27">
        <f>IFERROR(VLOOKUP($B212,'Estoque Central'!$A$6:$M$205,2,FALSE),"")</f>
        <v/>
      </c>
      <c r="D212" s="25">
        <f>IFERROR(VLOOKUP($B212,'Estoque Central'!$A$6:$M$205,3,FALSE),"")</f>
        <v/>
      </c>
      <c r="E212" s="21" t="n"/>
      <c r="F212" s="22" t="n"/>
      <c r="G212" s="22" t="n"/>
      <c r="H212" s="25">
        <f>IFERROR(VLOOKUP($E212,'Configurações'!$A$11:$F$20,2,FALSE),"")</f>
        <v/>
      </c>
      <c r="I212" s="28">
        <f>IFERROR(VLOOKUP($E212,'Configurações'!$A$11:$F$20,3,FALSE),"")</f>
        <v/>
      </c>
      <c r="J212" s="24">
        <f>IFERROR(VLOOKUP($E212,'Configurações'!$A$11:$F$20,4,FALSE),"")</f>
        <v/>
      </c>
      <c r="K212" s="24">
        <f>IFERROR(VLOOKUP($E212,'Configurações'!$A$11:$F$20,5,FALSE),"")</f>
        <v/>
      </c>
      <c r="L212" s="24">
        <f>IFERROR(VLOOKUP($B212,'Estoque Central'!$A$6:$M$205,9,FALSE),"")</f>
        <v/>
      </c>
      <c r="M212" s="24">
        <f>IF(COUNTA($A212:$B212,$E212:$G212,$R212)=0,"",IFERROR(IF(OR($C212="",$H212=""),"",IF(OR($D212&lt;&gt;"Ativo",$H212&lt;&gt;"Sim"),0,MIN(IF($J212="",$L212,$J212),ROUNDDOWN($L212*$I212,0)))),""))</f>
        <v/>
      </c>
      <c r="N212" s="24">
        <f>IF(OR($M212="",NOT(ISNUMBER($F212))),"",$M212-$F212)</f>
        <v/>
      </c>
      <c r="O212" s="25">
        <f>IF(COUNTA($A212:$B212,$E212:$G212,$R212)=0,"",IF($S212&lt;&gt;"OK","REVISAR CADASTRO",IF($N212&gt;0,"AUMENTAR",IF($N212&lt;0,"REDUZIR","SEM AÇÃO"))))</f>
        <v/>
      </c>
      <c r="P212" s="25">
        <f>IF(COUNTA($A212:$B212,$E212:$G212,$R212)=0,"",IF($S212&lt;&gt;"OK","REVISAR",IF(OR($D212&lt;&gt;"Ativo",$H212&lt;&gt;"Sim"),IF($F212&gt;0,"ALTO","SEM EXPOSIÇÃO"),IF(OR($F212&gt;$M212,SUMIFS($F$6:$F$305,$B$6:$B$305,$B212,$S$6:$S$305,"OK")&gt;$L212),"ALTO",IF(AND($F212&gt;0,$L212&lt;=$K212),"MÉDIO","BAIXO")))))</f>
        <v/>
      </c>
      <c r="Q212" s="25">
        <f>IF(COUNTA($A212:$B212,$E212:$G212,$R212)=0,"",IF($S212&lt;&gt;"OK","REVISAR",IF($O212="SEM AÇÃO","BAIXA",IF(OR($P212="ALTO",ABS($N212)&gt;='Configurações'!$B$3),"URGENTE",IF(OR($P212="MÉDIO",'Configurações'!$B$5-$R212&gt;'Configurações'!$B$4),"ALTA","NORMAL")))))</f>
        <v/>
      </c>
      <c r="R212" s="23" t="n"/>
      <c r="S212" s="25">
        <f>IF(COUNTA($A212:$B212,$E212:$G212,$R212)=0,"",IF($A212="","ID AUSENTE",IF(COUNTIF($A$6:$A$305,$A212)&gt;1,"ID DUPLICADO",IF($B212="","SKU AUSENTE",IF(COUNTIF('Estoque Central'!$A$6:$A$205,$B212)=0,"SKU NÃO CADASTRADO",IF(IFERROR(VLOOKUP($B212,'Estoque Central'!$A$6:$M$205,13,FALSE),"")&lt;&gt;"OK","ESTOQUE CENTRAL COM PENDÊNCIA",IF($E212="","CANAL AUSENTE",IF(COUNTIF('Configurações'!$A$11:$A$20,$E212)=0,"CANAL NÃO CONFIGURADO",IF(IFERROR(VLOOKUP($E212,'Configurações'!$A$11:$F$20,6,FALSE),"")&lt;&gt;"OK","CANAL COM PENDÊNCIA",IF(COUNTIFS($B$6:$B$305,$B212,$E$6:$E$305,$E212)&gt;1,"SKU/CANAL DUPLICADO",IF(IFERROR(OR(NOT(ISNUMBER($F212)),$F212&lt;0,MOD($F212,1)&lt;&gt;0),TRUE),"SALDO PUBLICADO INVÁLIDO",IF(IFERROR(OR(NOT(ISNUMBER($G212)),$G212&lt;0,MOD($G212,1)&lt;&gt;0),TRUE),"PEDIDOS PENDENTES INVÁLIDOS",IF(IFERROR(OR(NOT(ISNUMBER($R212)),$R212&gt;'Configurações'!$B$5),TRUE),"DATA INVÁLIDA","OK")))))))))))))</f>
        <v/>
      </c>
    </row>
    <row r="213">
      <c r="A213" s="21" t="n"/>
      <c r="B213" s="21" t="n"/>
      <c r="C213" s="27">
        <f>IFERROR(VLOOKUP($B213,'Estoque Central'!$A$6:$M$205,2,FALSE),"")</f>
        <v/>
      </c>
      <c r="D213" s="25">
        <f>IFERROR(VLOOKUP($B213,'Estoque Central'!$A$6:$M$205,3,FALSE),"")</f>
        <v/>
      </c>
      <c r="E213" s="21" t="n"/>
      <c r="F213" s="22" t="n"/>
      <c r="G213" s="22" t="n"/>
      <c r="H213" s="25">
        <f>IFERROR(VLOOKUP($E213,'Configurações'!$A$11:$F$20,2,FALSE),"")</f>
        <v/>
      </c>
      <c r="I213" s="28">
        <f>IFERROR(VLOOKUP($E213,'Configurações'!$A$11:$F$20,3,FALSE),"")</f>
        <v/>
      </c>
      <c r="J213" s="24">
        <f>IFERROR(VLOOKUP($E213,'Configurações'!$A$11:$F$20,4,FALSE),"")</f>
        <v/>
      </c>
      <c r="K213" s="24">
        <f>IFERROR(VLOOKUP($E213,'Configurações'!$A$11:$F$20,5,FALSE),"")</f>
        <v/>
      </c>
      <c r="L213" s="24">
        <f>IFERROR(VLOOKUP($B213,'Estoque Central'!$A$6:$M$205,9,FALSE),"")</f>
        <v/>
      </c>
      <c r="M213" s="24">
        <f>IF(COUNTA($A213:$B213,$E213:$G213,$R213)=0,"",IFERROR(IF(OR($C213="",$H213=""),"",IF(OR($D213&lt;&gt;"Ativo",$H213&lt;&gt;"Sim"),0,MIN(IF($J213="",$L213,$J213),ROUNDDOWN($L213*$I213,0)))),""))</f>
        <v/>
      </c>
      <c r="N213" s="24">
        <f>IF(OR($M213="",NOT(ISNUMBER($F213))),"",$M213-$F213)</f>
        <v/>
      </c>
      <c r="O213" s="25">
        <f>IF(COUNTA($A213:$B213,$E213:$G213,$R213)=0,"",IF($S213&lt;&gt;"OK","REVISAR CADASTRO",IF($N213&gt;0,"AUMENTAR",IF($N213&lt;0,"REDUZIR","SEM AÇÃO"))))</f>
        <v/>
      </c>
      <c r="P213" s="25">
        <f>IF(COUNTA($A213:$B213,$E213:$G213,$R213)=0,"",IF($S213&lt;&gt;"OK","REVISAR",IF(OR($D213&lt;&gt;"Ativo",$H213&lt;&gt;"Sim"),IF($F213&gt;0,"ALTO","SEM EXPOSIÇÃO"),IF(OR($F213&gt;$M213,SUMIFS($F$6:$F$305,$B$6:$B$305,$B213,$S$6:$S$305,"OK")&gt;$L213),"ALTO",IF(AND($F213&gt;0,$L213&lt;=$K213),"MÉDIO","BAIXO")))))</f>
        <v/>
      </c>
      <c r="Q213" s="25">
        <f>IF(COUNTA($A213:$B213,$E213:$G213,$R213)=0,"",IF($S213&lt;&gt;"OK","REVISAR",IF($O213="SEM AÇÃO","BAIXA",IF(OR($P213="ALTO",ABS($N213)&gt;='Configurações'!$B$3),"URGENTE",IF(OR($P213="MÉDIO",'Configurações'!$B$5-$R213&gt;'Configurações'!$B$4),"ALTA","NORMAL")))))</f>
        <v/>
      </c>
      <c r="R213" s="23" t="n"/>
      <c r="S213" s="25">
        <f>IF(COUNTA($A213:$B213,$E213:$G213,$R213)=0,"",IF($A213="","ID AUSENTE",IF(COUNTIF($A$6:$A$305,$A213)&gt;1,"ID DUPLICADO",IF($B213="","SKU AUSENTE",IF(COUNTIF('Estoque Central'!$A$6:$A$205,$B213)=0,"SKU NÃO CADASTRADO",IF(IFERROR(VLOOKUP($B213,'Estoque Central'!$A$6:$M$205,13,FALSE),"")&lt;&gt;"OK","ESTOQUE CENTRAL COM PENDÊNCIA",IF($E213="","CANAL AUSENTE",IF(COUNTIF('Configurações'!$A$11:$A$20,$E213)=0,"CANAL NÃO CONFIGURADO",IF(IFERROR(VLOOKUP($E213,'Configurações'!$A$11:$F$20,6,FALSE),"")&lt;&gt;"OK","CANAL COM PENDÊNCIA",IF(COUNTIFS($B$6:$B$305,$B213,$E$6:$E$305,$E213)&gt;1,"SKU/CANAL DUPLICADO",IF(IFERROR(OR(NOT(ISNUMBER($F213)),$F213&lt;0,MOD($F213,1)&lt;&gt;0),TRUE),"SALDO PUBLICADO INVÁLIDO",IF(IFERROR(OR(NOT(ISNUMBER($G213)),$G213&lt;0,MOD($G213,1)&lt;&gt;0),TRUE),"PEDIDOS PENDENTES INVÁLIDOS",IF(IFERROR(OR(NOT(ISNUMBER($R213)),$R213&gt;'Configurações'!$B$5),TRUE),"DATA INVÁLIDA","OK")))))))))))))</f>
        <v/>
      </c>
    </row>
    <row r="214">
      <c r="A214" s="21" t="n"/>
      <c r="B214" s="21" t="n"/>
      <c r="C214" s="27">
        <f>IFERROR(VLOOKUP($B214,'Estoque Central'!$A$6:$M$205,2,FALSE),"")</f>
        <v/>
      </c>
      <c r="D214" s="25">
        <f>IFERROR(VLOOKUP($B214,'Estoque Central'!$A$6:$M$205,3,FALSE),"")</f>
        <v/>
      </c>
      <c r="E214" s="21" t="n"/>
      <c r="F214" s="22" t="n"/>
      <c r="G214" s="22" t="n"/>
      <c r="H214" s="25">
        <f>IFERROR(VLOOKUP($E214,'Configurações'!$A$11:$F$20,2,FALSE),"")</f>
        <v/>
      </c>
      <c r="I214" s="28">
        <f>IFERROR(VLOOKUP($E214,'Configurações'!$A$11:$F$20,3,FALSE),"")</f>
        <v/>
      </c>
      <c r="J214" s="24">
        <f>IFERROR(VLOOKUP($E214,'Configurações'!$A$11:$F$20,4,FALSE),"")</f>
        <v/>
      </c>
      <c r="K214" s="24">
        <f>IFERROR(VLOOKUP($E214,'Configurações'!$A$11:$F$20,5,FALSE),"")</f>
        <v/>
      </c>
      <c r="L214" s="24">
        <f>IFERROR(VLOOKUP($B214,'Estoque Central'!$A$6:$M$205,9,FALSE),"")</f>
        <v/>
      </c>
      <c r="M214" s="24">
        <f>IF(COUNTA($A214:$B214,$E214:$G214,$R214)=0,"",IFERROR(IF(OR($C214="",$H214=""),"",IF(OR($D214&lt;&gt;"Ativo",$H214&lt;&gt;"Sim"),0,MIN(IF($J214="",$L214,$J214),ROUNDDOWN($L214*$I214,0)))),""))</f>
        <v/>
      </c>
      <c r="N214" s="24">
        <f>IF(OR($M214="",NOT(ISNUMBER($F214))),"",$M214-$F214)</f>
        <v/>
      </c>
      <c r="O214" s="25">
        <f>IF(COUNTA($A214:$B214,$E214:$G214,$R214)=0,"",IF($S214&lt;&gt;"OK","REVISAR CADASTRO",IF($N214&gt;0,"AUMENTAR",IF($N214&lt;0,"REDUZIR","SEM AÇÃO"))))</f>
        <v/>
      </c>
      <c r="P214" s="25">
        <f>IF(COUNTA($A214:$B214,$E214:$G214,$R214)=0,"",IF($S214&lt;&gt;"OK","REVISAR",IF(OR($D214&lt;&gt;"Ativo",$H214&lt;&gt;"Sim"),IF($F214&gt;0,"ALTO","SEM EXPOSIÇÃO"),IF(OR($F214&gt;$M214,SUMIFS($F$6:$F$305,$B$6:$B$305,$B214,$S$6:$S$305,"OK")&gt;$L214),"ALTO",IF(AND($F214&gt;0,$L214&lt;=$K214),"MÉDIO","BAIXO")))))</f>
        <v/>
      </c>
      <c r="Q214" s="25">
        <f>IF(COUNTA($A214:$B214,$E214:$G214,$R214)=0,"",IF($S214&lt;&gt;"OK","REVISAR",IF($O214="SEM AÇÃO","BAIXA",IF(OR($P214="ALTO",ABS($N214)&gt;='Configurações'!$B$3),"URGENTE",IF(OR($P214="MÉDIO",'Configurações'!$B$5-$R214&gt;'Configurações'!$B$4),"ALTA","NORMAL")))))</f>
        <v/>
      </c>
      <c r="R214" s="23" t="n"/>
      <c r="S214" s="25">
        <f>IF(COUNTA($A214:$B214,$E214:$G214,$R214)=0,"",IF($A214="","ID AUSENTE",IF(COUNTIF($A$6:$A$305,$A214)&gt;1,"ID DUPLICADO",IF($B214="","SKU AUSENTE",IF(COUNTIF('Estoque Central'!$A$6:$A$205,$B214)=0,"SKU NÃO CADASTRADO",IF(IFERROR(VLOOKUP($B214,'Estoque Central'!$A$6:$M$205,13,FALSE),"")&lt;&gt;"OK","ESTOQUE CENTRAL COM PENDÊNCIA",IF($E214="","CANAL AUSENTE",IF(COUNTIF('Configurações'!$A$11:$A$20,$E214)=0,"CANAL NÃO CONFIGURADO",IF(IFERROR(VLOOKUP($E214,'Configurações'!$A$11:$F$20,6,FALSE),"")&lt;&gt;"OK","CANAL COM PENDÊNCIA",IF(COUNTIFS($B$6:$B$305,$B214,$E$6:$E$305,$E214)&gt;1,"SKU/CANAL DUPLICADO",IF(IFERROR(OR(NOT(ISNUMBER($F214)),$F214&lt;0,MOD($F214,1)&lt;&gt;0),TRUE),"SALDO PUBLICADO INVÁLIDO",IF(IFERROR(OR(NOT(ISNUMBER($G214)),$G214&lt;0,MOD($G214,1)&lt;&gt;0),TRUE),"PEDIDOS PENDENTES INVÁLIDOS",IF(IFERROR(OR(NOT(ISNUMBER($R214)),$R214&gt;'Configurações'!$B$5),TRUE),"DATA INVÁLIDA","OK")))))))))))))</f>
        <v/>
      </c>
    </row>
    <row r="215">
      <c r="A215" s="21" t="n"/>
      <c r="B215" s="21" t="n"/>
      <c r="C215" s="27">
        <f>IFERROR(VLOOKUP($B215,'Estoque Central'!$A$6:$M$205,2,FALSE),"")</f>
        <v/>
      </c>
      <c r="D215" s="25">
        <f>IFERROR(VLOOKUP($B215,'Estoque Central'!$A$6:$M$205,3,FALSE),"")</f>
        <v/>
      </c>
      <c r="E215" s="21" t="n"/>
      <c r="F215" s="22" t="n"/>
      <c r="G215" s="22" t="n"/>
      <c r="H215" s="25">
        <f>IFERROR(VLOOKUP($E215,'Configurações'!$A$11:$F$20,2,FALSE),"")</f>
        <v/>
      </c>
      <c r="I215" s="28">
        <f>IFERROR(VLOOKUP($E215,'Configurações'!$A$11:$F$20,3,FALSE),"")</f>
        <v/>
      </c>
      <c r="J215" s="24">
        <f>IFERROR(VLOOKUP($E215,'Configurações'!$A$11:$F$20,4,FALSE),"")</f>
        <v/>
      </c>
      <c r="K215" s="24">
        <f>IFERROR(VLOOKUP($E215,'Configurações'!$A$11:$F$20,5,FALSE),"")</f>
        <v/>
      </c>
      <c r="L215" s="24">
        <f>IFERROR(VLOOKUP($B215,'Estoque Central'!$A$6:$M$205,9,FALSE),"")</f>
        <v/>
      </c>
      <c r="M215" s="24">
        <f>IF(COUNTA($A215:$B215,$E215:$G215,$R215)=0,"",IFERROR(IF(OR($C215="",$H215=""),"",IF(OR($D215&lt;&gt;"Ativo",$H215&lt;&gt;"Sim"),0,MIN(IF($J215="",$L215,$J215),ROUNDDOWN($L215*$I215,0)))),""))</f>
        <v/>
      </c>
      <c r="N215" s="24">
        <f>IF(OR($M215="",NOT(ISNUMBER($F215))),"",$M215-$F215)</f>
        <v/>
      </c>
      <c r="O215" s="25">
        <f>IF(COUNTA($A215:$B215,$E215:$G215,$R215)=0,"",IF($S215&lt;&gt;"OK","REVISAR CADASTRO",IF($N215&gt;0,"AUMENTAR",IF($N215&lt;0,"REDUZIR","SEM AÇÃO"))))</f>
        <v/>
      </c>
      <c r="P215" s="25">
        <f>IF(COUNTA($A215:$B215,$E215:$G215,$R215)=0,"",IF($S215&lt;&gt;"OK","REVISAR",IF(OR($D215&lt;&gt;"Ativo",$H215&lt;&gt;"Sim"),IF($F215&gt;0,"ALTO","SEM EXPOSIÇÃO"),IF(OR($F215&gt;$M215,SUMIFS($F$6:$F$305,$B$6:$B$305,$B215,$S$6:$S$305,"OK")&gt;$L215),"ALTO",IF(AND($F215&gt;0,$L215&lt;=$K215),"MÉDIO","BAIXO")))))</f>
        <v/>
      </c>
      <c r="Q215" s="25">
        <f>IF(COUNTA($A215:$B215,$E215:$G215,$R215)=0,"",IF($S215&lt;&gt;"OK","REVISAR",IF($O215="SEM AÇÃO","BAIXA",IF(OR($P215="ALTO",ABS($N215)&gt;='Configurações'!$B$3),"URGENTE",IF(OR($P215="MÉDIO",'Configurações'!$B$5-$R215&gt;'Configurações'!$B$4),"ALTA","NORMAL")))))</f>
        <v/>
      </c>
      <c r="R215" s="23" t="n"/>
      <c r="S215" s="25">
        <f>IF(COUNTA($A215:$B215,$E215:$G215,$R215)=0,"",IF($A215="","ID AUSENTE",IF(COUNTIF($A$6:$A$305,$A215)&gt;1,"ID DUPLICADO",IF($B215="","SKU AUSENTE",IF(COUNTIF('Estoque Central'!$A$6:$A$205,$B215)=0,"SKU NÃO CADASTRADO",IF(IFERROR(VLOOKUP($B215,'Estoque Central'!$A$6:$M$205,13,FALSE),"")&lt;&gt;"OK","ESTOQUE CENTRAL COM PENDÊNCIA",IF($E215="","CANAL AUSENTE",IF(COUNTIF('Configurações'!$A$11:$A$20,$E215)=0,"CANAL NÃO CONFIGURADO",IF(IFERROR(VLOOKUP($E215,'Configurações'!$A$11:$F$20,6,FALSE),"")&lt;&gt;"OK","CANAL COM PENDÊNCIA",IF(COUNTIFS($B$6:$B$305,$B215,$E$6:$E$305,$E215)&gt;1,"SKU/CANAL DUPLICADO",IF(IFERROR(OR(NOT(ISNUMBER($F215)),$F215&lt;0,MOD($F215,1)&lt;&gt;0),TRUE),"SALDO PUBLICADO INVÁLIDO",IF(IFERROR(OR(NOT(ISNUMBER($G215)),$G215&lt;0,MOD($G215,1)&lt;&gt;0),TRUE),"PEDIDOS PENDENTES INVÁLIDOS",IF(IFERROR(OR(NOT(ISNUMBER($R215)),$R215&gt;'Configurações'!$B$5),TRUE),"DATA INVÁLIDA","OK")))))))))))))</f>
        <v/>
      </c>
    </row>
    <row r="216">
      <c r="A216" s="21" t="n"/>
      <c r="B216" s="21" t="n"/>
      <c r="C216" s="27">
        <f>IFERROR(VLOOKUP($B216,'Estoque Central'!$A$6:$M$205,2,FALSE),"")</f>
        <v/>
      </c>
      <c r="D216" s="25">
        <f>IFERROR(VLOOKUP($B216,'Estoque Central'!$A$6:$M$205,3,FALSE),"")</f>
        <v/>
      </c>
      <c r="E216" s="21" t="n"/>
      <c r="F216" s="22" t="n"/>
      <c r="G216" s="22" t="n"/>
      <c r="H216" s="25">
        <f>IFERROR(VLOOKUP($E216,'Configurações'!$A$11:$F$20,2,FALSE),"")</f>
        <v/>
      </c>
      <c r="I216" s="28">
        <f>IFERROR(VLOOKUP($E216,'Configurações'!$A$11:$F$20,3,FALSE),"")</f>
        <v/>
      </c>
      <c r="J216" s="24">
        <f>IFERROR(VLOOKUP($E216,'Configurações'!$A$11:$F$20,4,FALSE),"")</f>
        <v/>
      </c>
      <c r="K216" s="24">
        <f>IFERROR(VLOOKUP($E216,'Configurações'!$A$11:$F$20,5,FALSE),"")</f>
        <v/>
      </c>
      <c r="L216" s="24">
        <f>IFERROR(VLOOKUP($B216,'Estoque Central'!$A$6:$M$205,9,FALSE),"")</f>
        <v/>
      </c>
      <c r="M216" s="24">
        <f>IF(COUNTA($A216:$B216,$E216:$G216,$R216)=0,"",IFERROR(IF(OR($C216="",$H216=""),"",IF(OR($D216&lt;&gt;"Ativo",$H216&lt;&gt;"Sim"),0,MIN(IF($J216="",$L216,$J216),ROUNDDOWN($L216*$I216,0)))),""))</f>
        <v/>
      </c>
      <c r="N216" s="24">
        <f>IF(OR($M216="",NOT(ISNUMBER($F216))),"",$M216-$F216)</f>
        <v/>
      </c>
      <c r="O216" s="25">
        <f>IF(COUNTA($A216:$B216,$E216:$G216,$R216)=0,"",IF($S216&lt;&gt;"OK","REVISAR CADASTRO",IF($N216&gt;0,"AUMENTAR",IF($N216&lt;0,"REDUZIR","SEM AÇÃO"))))</f>
        <v/>
      </c>
      <c r="P216" s="25">
        <f>IF(COUNTA($A216:$B216,$E216:$G216,$R216)=0,"",IF($S216&lt;&gt;"OK","REVISAR",IF(OR($D216&lt;&gt;"Ativo",$H216&lt;&gt;"Sim"),IF($F216&gt;0,"ALTO","SEM EXPOSIÇÃO"),IF(OR($F216&gt;$M216,SUMIFS($F$6:$F$305,$B$6:$B$305,$B216,$S$6:$S$305,"OK")&gt;$L216),"ALTO",IF(AND($F216&gt;0,$L216&lt;=$K216),"MÉDIO","BAIXO")))))</f>
        <v/>
      </c>
      <c r="Q216" s="25">
        <f>IF(COUNTA($A216:$B216,$E216:$G216,$R216)=0,"",IF($S216&lt;&gt;"OK","REVISAR",IF($O216="SEM AÇÃO","BAIXA",IF(OR($P216="ALTO",ABS($N216)&gt;='Configurações'!$B$3),"URGENTE",IF(OR($P216="MÉDIO",'Configurações'!$B$5-$R216&gt;'Configurações'!$B$4),"ALTA","NORMAL")))))</f>
        <v/>
      </c>
      <c r="R216" s="23" t="n"/>
      <c r="S216" s="25">
        <f>IF(COUNTA($A216:$B216,$E216:$G216,$R216)=0,"",IF($A216="","ID AUSENTE",IF(COUNTIF($A$6:$A$305,$A216)&gt;1,"ID DUPLICADO",IF($B216="","SKU AUSENTE",IF(COUNTIF('Estoque Central'!$A$6:$A$205,$B216)=0,"SKU NÃO CADASTRADO",IF(IFERROR(VLOOKUP($B216,'Estoque Central'!$A$6:$M$205,13,FALSE),"")&lt;&gt;"OK","ESTOQUE CENTRAL COM PENDÊNCIA",IF($E216="","CANAL AUSENTE",IF(COUNTIF('Configurações'!$A$11:$A$20,$E216)=0,"CANAL NÃO CONFIGURADO",IF(IFERROR(VLOOKUP($E216,'Configurações'!$A$11:$F$20,6,FALSE),"")&lt;&gt;"OK","CANAL COM PENDÊNCIA",IF(COUNTIFS($B$6:$B$305,$B216,$E$6:$E$305,$E216)&gt;1,"SKU/CANAL DUPLICADO",IF(IFERROR(OR(NOT(ISNUMBER($F216)),$F216&lt;0,MOD($F216,1)&lt;&gt;0),TRUE),"SALDO PUBLICADO INVÁLIDO",IF(IFERROR(OR(NOT(ISNUMBER($G216)),$G216&lt;0,MOD($G216,1)&lt;&gt;0),TRUE),"PEDIDOS PENDENTES INVÁLIDOS",IF(IFERROR(OR(NOT(ISNUMBER($R216)),$R216&gt;'Configurações'!$B$5),TRUE),"DATA INVÁLIDA","OK")))))))))))))</f>
        <v/>
      </c>
    </row>
    <row r="217">
      <c r="A217" s="21" t="n"/>
      <c r="B217" s="21" t="n"/>
      <c r="C217" s="27">
        <f>IFERROR(VLOOKUP($B217,'Estoque Central'!$A$6:$M$205,2,FALSE),"")</f>
        <v/>
      </c>
      <c r="D217" s="25">
        <f>IFERROR(VLOOKUP($B217,'Estoque Central'!$A$6:$M$205,3,FALSE),"")</f>
        <v/>
      </c>
      <c r="E217" s="21" t="n"/>
      <c r="F217" s="22" t="n"/>
      <c r="G217" s="22" t="n"/>
      <c r="H217" s="25">
        <f>IFERROR(VLOOKUP($E217,'Configurações'!$A$11:$F$20,2,FALSE),"")</f>
        <v/>
      </c>
      <c r="I217" s="28">
        <f>IFERROR(VLOOKUP($E217,'Configurações'!$A$11:$F$20,3,FALSE),"")</f>
        <v/>
      </c>
      <c r="J217" s="24">
        <f>IFERROR(VLOOKUP($E217,'Configurações'!$A$11:$F$20,4,FALSE),"")</f>
        <v/>
      </c>
      <c r="K217" s="24">
        <f>IFERROR(VLOOKUP($E217,'Configurações'!$A$11:$F$20,5,FALSE),"")</f>
        <v/>
      </c>
      <c r="L217" s="24">
        <f>IFERROR(VLOOKUP($B217,'Estoque Central'!$A$6:$M$205,9,FALSE),"")</f>
        <v/>
      </c>
      <c r="M217" s="24">
        <f>IF(COUNTA($A217:$B217,$E217:$G217,$R217)=0,"",IFERROR(IF(OR($C217="",$H217=""),"",IF(OR($D217&lt;&gt;"Ativo",$H217&lt;&gt;"Sim"),0,MIN(IF($J217="",$L217,$J217),ROUNDDOWN($L217*$I217,0)))),""))</f>
        <v/>
      </c>
      <c r="N217" s="24">
        <f>IF(OR($M217="",NOT(ISNUMBER($F217))),"",$M217-$F217)</f>
        <v/>
      </c>
      <c r="O217" s="25">
        <f>IF(COUNTA($A217:$B217,$E217:$G217,$R217)=0,"",IF($S217&lt;&gt;"OK","REVISAR CADASTRO",IF($N217&gt;0,"AUMENTAR",IF($N217&lt;0,"REDUZIR","SEM AÇÃO"))))</f>
        <v/>
      </c>
      <c r="P217" s="25">
        <f>IF(COUNTA($A217:$B217,$E217:$G217,$R217)=0,"",IF($S217&lt;&gt;"OK","REVISAR",IF(OR($D217&lt;&gt;"Ativo",$H217&lt;&gt;"Sim"),IF($F217&gt;0,"ALTO","SEM EXPOSIÇÃO"),IF(OR($F217&gt;$M217,SUMIFS($F$6:$F$305,$B$6:$B$305,$B217,$S$6:$S$305,"OK")&gt;$L217),"ALTO",IF(AND($F217&gt;0,$L217&lt;=$K217),"MÉDIO","BAIXO")))))</f>
        <v/>
      </c>
      <c r="Q217" s="25">
        <f>IF(COUNTA($A217:$B217,$E217:$G217,$R217)=0,"",IF($S217&lt;&gt;"OK","REVISAR",IF($O217="SEM AÇÃO","BAIXA",IF(OR($P217="ALTO",ABS($N217)&gt;='Configurações'!$B$3),"URGENTE",IF(OR($P217="MÉDIO",'Configurações'!$B$5-$R217&gt;'Configurações'!$B$4),"ALTA","NORMAL")))))</f>
        <v/>
      </c>
      <c r="R217" s="23" t="n"/>
      <c r="S217" s="25">
        <f>IF(COUNTA($A217:$B217,$E217:$G217,$R217)=0,"",IF($A217="","ID AUSENTE",IF(COUNTIF($A$6:$A$305,$A217)&gt;1,"ID DUPLICADO",IF($B217="","SKU AUSENTE",IF(COUNTIF('Estoque Central'!$A$6:$A$205,$B217)=0,"SKU NÃO CADASTRADO",IF(IFERROR(VLOOKUP($B217,'Estoque Central'!$A$6:$M$205,13,FALSE),"")&lt;&gt;"OK","ESTOQUE CENTRAL COM PENDÊNCIA",IF($E217="","CANAL AUSENTE",IF(COUNTIF('Configurações'!$A$11:$A$20,$E217)=0,"CANAL NÃO CONFIGURADO",IF(IFERROR(VLOOKUP($E217,'Configurações'!$A$11:$F$20,6,FALSE),"")&lt;&gt;"OK","CANAL COM PENDÊNCIA",IF(COUNTIFS($B$6:$B$305,$B217,$E$6:$E$305,$E217)&gt;1,"SKU/CANAL DUPLICADO",IF(IFERROR(OR(NOT(ISNUMBER($F217)),$F217&lt;0,MOD($F217,1)&lt;&gt;0),TRUE),"SALDO PUBLICADO INVÁLIDO",IF(IFERROR(OR(NOT(ISNUMBER($G217)),$G217&lt;0,MOD($G217,1)&lt;&gt;0),TRUE),"PEDIDOS PENDENTES INVÁLIDOS",IF(IFERROR(OR(NOT(ISNUMBER($R217)),$R217&gt;'Configurações'!$B$5),TRUE),"DATA INVÁLIDA","OK")))))))))))))</f>
        <v/>
      </c>
    </row>
    <row r="218">
      <c r="A218" s="21" t="n"/>
      <c r="B218" s="21" t="n"/>
      <c r="C218" s="27">
        <f>IFERROR(VLOOKUP($B218,'Estoque Central'!$A$6:$M$205,2,FALSE),"")</f>
        <v/>
      </c>
      <c r="D218" s="25">
        <f>IFERROR(VLOOKUP($B218,'Estoque Central'!$A$6:$M$205,3,FALSE),"")</f>
        <v/>
      </c>
      <c r="E218" s="21" t="n"/>
      <c r="F218" s="22" t="n"/>
      <c r="G218" s="22" t="n"/>
      <c r="H218" s="25">
        <f>IFERROR(VLOOKUP($E218,'Configurações'!$A$11:$F$20,2,FALSE),"")</f>
        <v/>
      </c>
      <c r="I218" s="28">
        <f>IFERROR(VLOOKUP($E218,'Configurações'!$A$11:$F$20,3,FALSE),"")</f>
        <v/>
      </c>
      <c r="J218" s="24">
        <f>IFERROR(VLOOKUP($E218,'Configurações'!$A$11:$F$20,4,FALSE),"")</f>
        <v/>
      </c>
      <c r="K218" s="24">
        <f>IFERROR(VLOOKUP($E218,'Configurações'!$A$11:$F$20,5,FALSE),"")</f>
        <v/>
      </c>
      <c r="L218" s="24">
        <f>IFERROR(VLOOKUP($B218,'Estoque Central'!$A$6:$M$205,9,FALSE),"")</f>
        <v/>
      </c>
      <c r="M218" s="24">
        <f>IF(COUNTA($A218:$B218,$E218:$G218,$R218)=0,"",IFERROR(IF(OR($C218="",$H218=""),"",IF(OR($D218&lt;&gt;"Ativo",$H218&lt;&gt;"Sim"),0,MIN(IF($J218="",$L218,$J218),ROUNDDOWN($L218*$I218,0)))),""))</f>
        <v/>
      </c>
      <c r="N218" s="24">
        <f>IF(OR($M218="",NOT(ISNUMBER($F218))),"",$M218-$F218)</f>
        <v/>
      </c>
      <c r="O218" s="25">
        <f>IF(COUNTA($A218:$B218,$E218:$G218,$R218)=0,"",IF($S218&lt;&gt;"OK","REVISAR CADASTRO",IF($N218&gt;0,"AUMENTAR",IF($N218&lt;0,"REDUZIR","SEM AÇÃO"))))</f>
        <v/>
      </c>
      <c r="P218" s="25">
        <f>IF(COUNTA($A218:$B218,$E218:$G218,$R218)=0,"",IF($S218&lt;&gt;"OK","REVISAR",IF(OR($D218&lt;&gt;"Ativo",$H218&lt;&gt;"Sim"),IF($F218&gt;0,"ALTO","SEM EXPOSIÇÃO"),IF(OR($F218&gt;$M218,SUMIFS($F$6:$F$305,$B$6:$B$305,$B218,$S$6:$S$305,"OK")&gt;$L218),"ALTO",IF(AND($F218&gt;0,$L218&lt;=$K218),"MÉDIO","BAIXO")))))</f>
        <v/>
      </c>
      <c r="Q218" s="25">
        <f>IF(COUNTA($A218:$B218,$E218:$G218,$R218)=0,"",IF($S218&lt;&gt;"OK","REVISAR",IF($O218="SEM AÇÃO","BAIXA",IF(OR($P218="ALTO",ABS($N218)&gt;='Configurações'!$B$3),"URGENTE",IF(OR($P218="MÉDIO",'Configurações'!$B$5-$R218&gt;'Configurações'!$B$4),"ALTA","NORMAL")))))</f>
        <v/>
      </c>
      <c r="R218" s="23" t="n"/>
      <c r="S218" s="25">
        <f>IF(COUNTA($A218:$B218,$E218:$G218,$R218)=0,"",IF($A218="","ID AUSENTE",IF(COUNTIF($A$6:$A$305,$A218)&gt;1,"ID DUPLICADO",IF($B218="","SKU AUSENTE",IF(COUNTIF('Estoque Central'!$A$6:$A$205,$B218)=0,"SKU NÃO CADASTRADO",IF(IFERROR(VLOOKUP($B218,'Estoque Central'!$A$6:$M$205,13,FALSE),"")&lt;&gt;"OK","ESTOQUE CENTRAL COM PENDÊNCIA",IF($E218="","CANAL AUSENTE",IF(COUNTIF('Configurações'!$A$11:$A$20,$E218)=0,"CANAL NÃO CONFIGURADO",IF(IFERROR(VLOOKUP($E218,'Configurações'!$A$11:$F$20,6,FALSE),"")&lt;&gt;"OK","CANAL COM PENDÊNCIA",IF(COUNTIFS($B$6:$B$305,$B218,$E$6:$E$305,$E218)&gt;1,"SKU/CANAL DUPLICADO",IF(IFERROR(OR(NOT(ISNUMBER($F218)),$F218&lt;0,MOD($F218,1)&lt;&gt;0),TRUE),"SALDO PUBLICADO INVÁLIDO",IF(IFERROR(OR(NOT(ISNUMBER($G218)),$G218&lt;0,MOD($G218,1)&lt;&gt;0),TRUE),"PEDIDOS PENDENTES INVÁLIDOS",IF(IFERROR(OR(NOT(ISNUMBER($R218)),$R218&gt;'Configurações'!$B$5),TRUE),"DATA INVÁLIDA","OK")))))))))))))</f>
        <v/>
      </c>
    </row>
    <row r="219">
      <c r="A219" s="21" t="n"/>
      <c r="B219" s="21" t="n"/>
      <c r="C219" s="27">
        <f>IFERROR(VLOOKUP($B219,'Estoque Central'!$A$6:$M$205,2,FALSE),"")</f>
        <v/>
      </c>
      <c r="D219" s="25">
        <f>IFERROR(VLOOKUP($B219,'Estoque Central'!$A$6:$M$205,3,FALSE),"")</f>
        <v/>
      </c>
      <c r="E219" s="21" t="n"/>
      <c r="F219" s="22" t="n"/>
      <c r="G219" s="22" t="n"/>
      <c r="H219" s="25">
        <f>IFERROR(VLOOKUP($E219,'Configurações'!$A$11:$F$20,2,FALSE),"")</f>
        <v/>
      </c>
      <c r="I219" s="28">
        <f>IFERROR(VLOOKUP($E219,'Configurações'!$A$11:$F$20,3,FALSE),"")</f>
        <v/>
      </c>
      <c r="J219" s="24">
        <f>IFERROR(VLOOKUP($E219,'Configurações'!$A$11:$F$20,4,FALSE),"")</f>
        <v/>
      </c>
      <c r="K219" s="24">
        <f>IFERROR(VLOOKUP($E219,'Configurações'!$A$11:$F$20,5,FALSE),"")</f>
        <v/>
      </c>
      <c r="L219" s="24">
        <f>IFERROR(VLOOKUP($B219,'Estoque Central'!$A$6:$M$205,9,FALSE),"")</f>
        <v/>
      </c>
      <c r="M219" s="24">
        <f>IF(COUNTA($A219:$B219,$E219:$G219,$R219)=0,"",IFERROR(IF(OR($C219="",$H219=""),"",IF(OR($D219&lt;&gt;"Ativo",$H219&lt;&gt;"Sim"),0,MIN(IF($J219="",$L219,$J219),ROUNDDOWN($L219*$I219,0)))),""))</f>
        <v/>
      </c>
      <c r="N219" s="24">
        <f>IF(OR($M219="",NOT(ISNUMBER($F219))),"",$M219-$F219)</f>
        <v/>
      </c>
      <c r="O219" s="25">
        <f>IF(COUNTA($A219:$B219,$E219:$G219,$R219)=0,"",IF($S219&lt;&gt;"OK","REVISAR CADASTRO",IF($N219&gt;0,"AUMENTAR",IF($N219&lt;0,"REDUZIR","SEM AÇÃO"))))</f>
        <v/>
      </c>
      <c r="P219" s="25">
        <f>IF(COUNTA($A219:$B219,$E219:$G219,$R219)=0,"",IF($S219&lt;&gt;"OK","REVISAR",IF(OR($D219&lt;&gt;"Ativo",$H219&lt;&gt;"Sim"),IF($F219&gt;0,"ALTO","SEM EXPOSIÇÃO"),IF(OR($F219&gt;$M219,SUMIFS($F$6:$F$305,$B$6:$B$305,$B219,$S$6:$S$305,"OK")&gt;$L219),"ALTO",IF(AND($F219&gt;0,$L219&lt;=$K219),"MÉDIO","BAIXO")))))</f>
        <v/>
      </c>
      <c r="Q219" s="25">
        <f>IF(COUNTA($A219:$B219,$E219:$G219,$R219)=0,"",IF($S219&lt;&gt;"OK","REVISAR",IF($O219="SEM AÇÃO","BAIXA",IF(OR($P219="ALTO",ABS($N219)&gt;='Configurações'!$B$3),"URGENTE",IF(OR($P219="MÉDIO",'Configurações'!$B$5-$R219&gt;'Configurações'!$B$4),"ALTA","NORMAL")))))</f>
        <v/>
      </c>
      <c r="R219" s="23" t="n"/>
      <c r="S219" s="25">
        <f>IF(COUNTA($A219:$B219,$E219:$G219,$R219)=0,"",IF($A219="","ID AUSENTE",IF(COUNTIF($A$6:$A$305,$A219)&gt;1,"ID DUPLICADO",IF($B219="","SKU AUSENTE",IF(COUNTIF('Estoque Central'!$A$6:$A$205,$B219)=0,"SKU NÃO CADASTRADO",IF(IFERROR(VLOOKUP($B219,'Estoque Central'!$A$6:$M$205,13,FALSE),"")&lt;&gt;"OK","ESTOQUE CENTRAL COM PENDÊNCIA",IF($E219="","CANAL AUSENTE",IF(COUNTIF('Configurações'!$A$11:$A$20,$E219)=0,"CANAL NÃO CONFIGURADO",IF(IFERROR(VLOOKUP($E219,'Configurações'!$A$11:$F$20,6,FALSE),"")&lt;&gt;"OK","CANAL COM PENDÊNCIA",IF(COUNTIFS($B$6:$B$305,$B219,$E$6:$E$305,$E219)&gt;1,"SKU/CANAL DUPLICADO",IF(IFERROR(OR(NOT(ISNUMBER($F219)),$F219&lt;0,MOD($F219,1)&lt;&gt;0),TRUE),"SALDO PUBLICADO INVÁLIDO",IF(IFERROR(OR(NOT(ISNUMBER($G219)),$G219&lt;0,MOD($G219,1)&lt;&gt;0),TRUE),"PEDIDOS PENDENTES INVÁLIDOS",IF(IFERROR(OR(NOT(ISNUMBER($R219)),$R219&gt;'Configurações'!$B$5),TRUE),"DATA INVÁLIDA","OK")))))))))))))</f>
        <v/>
      </c>
    </row>
    <row r="220">
      <c r="A220" s="21" t="n"/>
      <c r="B220" s="21" t="n"/>
      <c r="C220" s="27">
        <f>IFERROR(VLOOKUP($B220,'Estoque Central'!$A$6:$M$205,2,FALSE),"")</f>
        <v/>
      </c>
      <c r="D220" s="25">
        <f>IFERROR(VLOOKUP($B220,'Estoque Central'!$A$6:$M$205,3,FALSE),"")</f>
        <v/>
      </c>
      <c r="E220" s="21" t="n"/>
      <c r="F220" s="22" t="n"/>
      <c r="G220" s="22" t="n"/>
      <c r="H220" s="25">
        <f>IFERROR(VLOOKUP($E220,'Configurações'!$A$11:$F$20,2,FALSE),"")</f>
        <v/>
      </c>
      <c r="I220" s="28">
        <f>IFERROR(VLOOKUP($E220,'Configurações'!$A$11:$F$20,3,FALSE),"")</f>
        <v/>
      </c>
      <c r="J220" s="24">
        <f>IFERROR(VLOOKUP($E220,'Configurações'!$A$11:$F$20,4,FALSE),"")</f>
        <v/>
      </c>
      <c r="K220" s="24">
        <f>IFERROR(VLOOKUP($E220,'Configurações'!$A$11:$F$20,5,FALSE),"")</f>
        <v/>
      </c>
      <c r="L220" s="24">
        <f>IFERROR(VLOOKUP($B220,'Estoque Central'!$A$6:$M$205,9,FALSE),"")</f>
        <v/>
      </c>
      <c r="M220" s="24">
        <f>IF(COUNTA($A220:$B220,$E220:$G220,$R220)=0,"",IFERROR(IF(OR($C220="",$H220=""),"",IF(OR($D220&lt;&gt;"Ativo",$H220&lt;&gt;"Sim"),0,MIN(IF($J220="",$L220,$J220),ROUNDDOWN($L220*$I220,0)))),""))</f>
        <v/>
      </c>
      <c r="N220" s="24">
        <f>IF(OR($M220="",NOT(ISNUMBER($F220))),"",$M220-$F220)</f>
        <v/>
      </c>
      <c r="O220" s="25">
        <f>IF(COUNTA($A220:$B220,$E220:$G220,$R220)=0,"",IF($S220&lt;&gt;"OK","REVISAR CADASTRO",IF($N220&gt;0,"AUMENTAR",IF($N220&lt;0,"REDUZIR","SEM AÇÃO"))))</f>
        <v/>
      </c>
      <c r="P220" s="25">
        <f>IF(COUNTA($A220:$B220,$E220:$G220,$R220)=0,"",IF($S220&lt;&gt;"OK","REVISAR",IF(OR($D220&lt;&gt;"Ativo",$H220&lt;&gt;"Sim"),IF($F220&gt;0,"ALTO","SEM EXPOSIÇÃO"),IF(OR($F220&gt;$M220,SUMIFS($F$6:$F$305,$B$6:$B$305,$B220,$S$6:$S$305,"OK")&gt;$L220),"ALTO",IF(AND($F220&gt;0,$L220&lt;=$K220),"MÉDIO","BAIXO")))))</f>
        <v/>
      </c>
      <c r="Q220" s="25">
        <f>IF(COUNTA($A220:$B220,$E220:$G220,$R220)=0,"",IF($S220&lt;&gt;"OK","REVISAR",IF($O220="SEM AÇÃO","BAIXA",IF(OR($P220="ALTO",ABS($N220)&gt;='Configurações'!$B$3),"URGENTE",IF(OR($P220="MÉDIO",'Configurações'!$B$5-$R220&gt;'Configurações'!$B$4),"ALTA","NORMAL")))))</f>
        <v/>
      </c>
      <c r="R220" s="23" t="n"/>
      <c r="S220" s="25">
        <f>IF(COUNTA($A220:$B220,$E220:$G220,$R220)=0,"",IF($A220="","ID AUSENTE",IF(COUNTIF($A$6:$A$305,$A220)&gt;1,"ID DUPLICADO",IF($B220="","SKU AUSENTE",IF(COUNTIF('Estoque Central'!$A$6:$A$205,$B220)=0,"SKU NÃO CADASTRADO",IF(IFERROR(VLOOKUP($B220,'Estoque Central'!$A$6:$M$205,13,FALSE),"")&lt;&gt;"OK","ESTOQUE CENTRAL COM PENDÊNCIA",IF($E220="","CANAL AUSENTE",IF(COUNTIF('Configurações'!$A$11:$A$20,$E220)=0,"CANAL NÃO CONFIGURADO",IF(IFERROR(VLOOKUP($E220,'Configurações'!$A$11:$F$20,6,FALSE),"")&lt;&gt;"OK","CANAL COM PENDÊNCIA",IF(COUNTIFS($B$6:$B$305,$B220,$E$6:$E$305,$E220)&gt;1,"SKU/CANAL DUPLICADO",IF(IFERROR(OR(NOT(ISNUMBER($F220)),$F220&lt;0,MOD($F220,1)&lt;&gt;0),TRUE),"SALDO PUBLICADO INVÁLIDO",IF(IFERROR(OR(NOT(ISNUMBER($G220)),$G220&lt;0,MOD($G220,1)&lt;&gt;0),TRUE),"PEDIDOS PENDENTES INVÁLIDOS",IF(IFERROR(OR(NOT(ISNUMBER($R220)),$R220&gt;'Configurações'!$B$5),TRUE),"DATA INVÁLIDA","OK")))))))))))))</f>
        <v/>
      </c>
    </row>
    <row r="221">
      <c r="A221" s="21" t="n"/>
      <c r="B221" s="21" t="n"/>
      <c r="C221" s="27">
        <f>IFERROR(VLOOKUP($B221,'Estoque Central'!$A$6:$M$205,2,FALSE),"")</f>
        <v/>
      </c>
      <c r="D221" s="25">
        <f>IFERROR(VLOOKUP($B221,'Estoque Central'!$A$6:$M$205,3,FALSE),"")</f>
        <v/>
      </c>
      <c r="E221" s="21" t="n"/>
      <c r="F221" s="22" t="n"/>
      <c r="G221" s="22" t="n"/>
      <c r="H221" s="25">
        <f>IFERROR(VLOOKUP($E221,'Configurações'!$A$11:$F$20,2,FALSE),"")</f>
        <v/>
      </c>
      <c r="I221" s="28">
        <f>IFERROR(VLOOKUP($E221,'Configurações'!$A$11:$F$20,3,FALSE),"")</f>
        <v/>
      </c>
      <c r="J221" s="24">
        <f>IFERROR(VLOOKUP($E221,'Configurações'!$A$11:$F$20,4,FALSE),"")</f>
        <v/>
      </c>
      <c r="K221" s="24">
        <f>IFERROR(VLOOKUP($E221,'Configurações'!$A$11:$F$20,5,FALSE),"")</f>
        <v/>
      </c>
      <c r="L221" s="24">
        <f>IFERROR(VLOOKUP($B221,'Estoque Central'!$A$6:$M$205,9,FALSE),"")</f>
        <v/>
      </c>
      <c r="M221" s="24">
        <f>IF(COUNTA($A221:$B221,$E221:$G221,$R221)=0,"",IFERROR(IF(OR($C221="",$H221=""),"",IF(OR($D221&lt;&gt;"Ativo",$H221&lt;&gt;"Sim"),0,MIN(IF($J221="",$L221,$J221),ROUNDDOWN($L221*$I221,0)))),""))</f>
        <v/>
      </c>
      <c r="N221" s="24">
        <f>IF(OR($M221="",NOT(ISNUMBER($F221))),"",$M221-$F221)</f>
        <v/>
      </c>
      <c r="O221" s="25">
        <f>IF(COUNTA($A221:$B221,$E221:$G221,$R221)=0,"",IF($S221&lt;&gt;"OK","REVISAR CADASTRO",IF($N221&gt;0,"AUMENTAR",IF($N221&lt;0,"REDUZIR","SEM AÇÃO"))))</f>
        <v/>
      </c>
      <c r="P221" s="25">
        <f>IF(COUNTA($A221:$B221,$E221:$G221,$R221)=0,"",IF($S221&lt;&gt;"OK","REVISAR",IF(OR($D221&lt;&gt;"Ativo",$H221&lt;&gt;"Sim"),IF($F221&gt;0,"ALTO","SEM EXPOSIÇÃO"),IF(OR($F221&gt;$M221,SUMIFS($F$6:$F$305,$B$6:$B$305,$B221,$S$6:$S$305,"OK")&gt;$L221),"ALTO",IF(AND($F221&gt;0,$L221&lt;=$K221),"MÉDIO","BAIXO")))))</f>
        <v/>
      </c>
      <c r="Q221" s="25">
        <f>IF(COUNTA($A221:$B221,$E221:$G221,$R221)=0,"",IF($S221&lt;&gt;"OK","REVISAR",IF($O221="SEM AÇÃO","BAIXA",IF(OR($P221="ALTO",ABS($N221)&gt;='Configurações'!$B$3),"URGENTE",IF(OR($P221="MÉDIO",'Configurações'!$B$5-$R221&gt;'Configurações'!$B$4),"ALTA","NORMAL")))))</f>
        <v/>
      </c>
      <c r="R221" s="23" t="n"/>
      <c r="S221" s="25">
        <f>IF(COUNTA($A221:$B221,$E221:$G221,$R221)=0,"",IF($A221="","ID AUSENTE",IF(COUNTIF($A$6:$A$305,$A221)&gt;1,"ID DUPLICADO",IF($B221="","SKU AUSENTE",IF(COUNTIF('Estoque Central'!$A$6:$A$205,$B221)=0,"SKU NÃO CADASTRADO",IF(IFERROR(VLOOKUP($B221,'Estoque Central'!$A$6:$M$205,13,FALSE),"")&lt;&gt;"OK","ESTOQUE CENTRAL COM PENDÊNCIA",IF($E221="","CANAL AUSENTE",IF(COUNTIF('Configurações'!$A$11:$A$20,$E221)=0,"CANAL NÃO CONFIGURADO",IF(IFERROR(VLOOKUP($E221,'Configurações'!$A$11:$F$20,6,FALSE),"")&lt;&gt;"OK","CANAL COM PENDÊNCIA",IF(COUNTIFS($B$6:$B$305,$B221,$E$6:$E$305,$E221)&gt;1,"SKU/CANAL DUPLICADO",IF(IFERROR(OR(NOT(ISNUMBER($F221)),$F221&lt;0,MOD($F221,1)&lt;&gt;0),TRUE),"SALDO PUBLICADO INVÁLIDO",IF(IFERROR(OR(NOT(ISNUMBER($G221)),$G221&lt;0,MOD($G221,1)&lt;&gt;0),TRUE),"PEDIDOS PENDENTES INVÁLIDOS",IF(IFERROR(OR(NOT(ISNUMBER($R221)),$R221&gt;'Configurações'!$B$5),TRUE),"DATA INVÁLIDA","OK")))))))))))))</f>
        <v/>
      </c>
    </row>
    <row r="222">
      <c r="A222" s="21" t="n"/>
      <c r="B222" s="21" t="n"/>
      <c r="C222" s="27">
        <f>IFERROR(VLOOKUP($B222,'Estoque Central'!$A$6:$M$205,2,FALSE),"")</f>
        <v/>
      </c>
      <c r="D222" s="25">
        <f>IFERROR(VLOOKUP($B222,'Estoque Central'!$A$6:$M$205,3,FALSE),"")</f>
        <v/>
      </c>
      <c r="E222" s="21" t="n"/>
      <c r="F222" s="22" t="n"/>
      <c r="G222" s="22" t="n"/>
      <c r="H222" s="25">
        <f>IFERROR(VLOOKUP($E222,'Configurações'!$A$11:$F$20,2,FALSE),"")</f>
        <v/>
      </c>
      <c r="I222" s="28">
        <f>IFERROR(VLOOKUP($E222,'Configurações'!$A$11:$F$20,3,FALSE),"")</f>
        <v/>
      </c>
      <c r="J222" s="24">
        <f>IFERROR(VLOOKUP($E222,'Configurações'!$A$11:$F$20,4,FALSE),"")</f>
        <v/>
      </c>
      <c r="K222" s="24">
        <f>IFERROR(VLOOKUP($E222,'Configurações'!$A$11:$F$20,5,FALSE),"")</f>
        <v/>
      </c>
      <c r="L222" s="24">
        <f>IFERROR(VLOOKUP($B222,'Estoque Central'!$A$6:$M$205,9,FALSE),"")</f>
        <v/>
      </c>
      <c r="M222" s="24">
        <f>IF(COUNTA($A222:$B222,$E222:$G222,$R222)=0,"",IFERROR(IF(OR($C222="",$H222=""),"",IF(OR($D222&lt;&gt;"Ativo",$H222&lt;&gt;"Sim"),0,MIN(IF($J222="",$L222,$J222),ROUNDDOWN($L222*$I222,0)))),""))</f>
        <v/>
      </c>
      <c r="N222" s="24">
        <f>IF(OR($M222="",NOT(ISNUMBER($F222))),"",$M222-$F222)</f>
        <v/>
      </c>
      <c r="O222" s="25">
        <f>IF(COUNTA($A222:$B222,$E222:$G222,$R222)=0,"",IF($S222&lt;&gt;"OK","REVISAR CADASTRO",IF($N222&gt;0,"AUMENTAR",IF($N222&lt;0,"REDUZIR","SEM AÇÃO"))))</f>
        <v/>
      </c>
      <c r="P222" s="25">
        <f>IF(COUNTA($A222:$B222,$E222:$G222,$R222)=0,"",IF($S222&lt;&gt;"OK","REVISAR",IF(OR($D222&lt;&gt;"Ativo",$H222&lt;&gt;"Sim"),IF($F222&gt;0,"ALTO","SEM EXPOSIÇÃO"),IF(OR($F222&gt;$M222,SUMIFS($F$6:$F$305,$B$6:$B$305,$B222,$S$6:$S$305,"OK")&gt;$L222),"ALTO",IF(AND($F222&gt;0,$L222&lt;=$K222),"MÉDIO","BAIXO")))))</f>
        <v/>
      </c>
      <c r="Q222" s="25">
        <f>IF(COUNTA($A222:$B222,$E222:$G222,$R222)=0,"",IF($S222&lt;&gt;"OK","REVISAR",IF($O222="SEM AÇÃO","BAIXA",IF(OR($P222="ALTO",ABS($N222)&gt;='Configurações'!$B$3),"URGENTE",IF(OR($P222="MÉDIO",'Configurações'!$B$5-$R222&gt;'Configurações'!$B$4),"ALTA","NORMAL")))))</f>
        <v/>
      </c>
      <c r="R222" s="23" t="n"/>
      <c r="S222" s="25">
        <f>IF(COUNTA($A222:$B222,$E222:$G222,$R222)=0,"",IF($A222="","ID AUSENTE",IF(COUNTIF($A$6:$A$305,$A222)&gt;1,"ID DUPLICADO",IF($B222="","SKU AUSENTE",IF(COUNTIF('Estoque Central'!$A$6:$A$205,$B222)=0,"SKU NÃO CADASTRADO",IF(IFERROR(VLOOKUP($B222,'Estoque Central'!$A$6:$M$205,13,FALSE),"")&lt;&gt;"OK","ESTOQUE CENTRAL COM PENDÊNCIA",IF($E222="","CANAL AUSENTE",IF(COUNTIF('Configurações'!$A$11:$A$20,$E222)=0,"CANAL NÃO CONFIGURADO",IF(IFERROR(VLOOKUP($E222,'Configurações'!$A$11:$F$20,6,FALSE),"")&lt;&gt;"OK","CANAL COM PENDÊNCIA",IF(COUNTIFS($B$6:$B$305,$B222,$E$6:$E$305,$E222)&gt;1,"SKU/CANAL DUPLICADO",IF(IFERROR(OR(NOT(ISNUMBER($F222)),$F222&lt;0,MOD($F222,1)&lt;&gt;0),TRUE),"SALDO PUBLICADO INVÁLIDO",IF(IFERROR(OR(NOT(ISNUMBER($G222)),$G222&lt;0,MOD($G222,1)&lt;&gt;0),TRUE),"PEDIDOS PENDENTES INVÁLIDOS",IF(IFERROR(OR(NOT(ISNUMBER($R222)),$R222&gt;'Configurações'!$B$5),TRUE),"DATA INVÁLIDA","OK")))))))))))))</f>
        <v/>
      </c>
    </row>
    <row r="223">
      <c r="A223" s="21" t="n"/>
      <c r="B223" s="21" t="n"/>
      <c r="C223" s="27">
        <f>IFERROR(VLOOKUP($B223,'Estoque Central'!$A$6:$M$205,2,FALSE),"")</f>
        <v/>
      </c>
      <c r="D223" s="25">
        <f>IFERROR(VLOOKUP($B223,'Estoque Central'!$A$6:$M$205,3,FALSE),"")</f>
        <v/>
      </c>
      <c r="E223" s="21" t="n"/>
      <c r="F223" s="22" t="n"/>
      <c r="G223" s="22" t="n"/>
      <c r="H223" s="25">
        <f>IFERROR(VLOOKUP($E223,'Configurações'!$A$11:$F$20,2,FALSE),"")</f>
        <v/>
      </c>
      <c r="I223" s="28">
        <f>IFERROR(VLOOKUP($E223,'Configurações'!$A$11:$F$20,3,FALSE),"")</f>
        <v/>
      </c>
      <c r="J223" s="24">
        <f>IFERROR(VLOOKUP($E223,'Configurações'!$A$11:$F$20,4,FALSE),"")</f>
        <v/>
      </c>
      <c r="K223" s="24">
        <f>IFERROR(VLOOKUP($E223,'Configurações'!$A$11:$F$20,5,FALSE),"")</f>
        <v/>
      </c>
      <c r="L223" s="24">
        <f>IFERROR(VLOOKUP($B223,'Estoque Central'!$A$6:$M$205,9,FALSE),"")</f>
        <v/>
      </c>
      <c r="M223" s="24">
        <f>IF(COUNTA($A223:$B223,$E223:$G223,$R223)=0,"",IFERROR(IF(OR($C223="",$H223=""),"",IF(OR($D223&lt;&gt;"Ativo",$H223&lt;&gt;"Sim"),0,MIN(IF($J223="",$L223,$J223),ROUNDDOWN($L223*$I223,0)))),""))</f>
        <v/>
      </c>
      <c r="N223" s="24">
        <f>IF(OR($M223="",NOT(ISNUMBER($F223))),"",$M223-$F223)</f>
        <v/>
      </c>
      <c r="O223" s="25">
        <f>IF(COUNTA($A223:$B223,$E223:$G223,$R223)=0,"",IF($S223&lt;&gt;"OK","REVISAR CADASTRO",IF($N223&gt;0,"AUMENTAR",IF($N223&lt;0,"REDUZIR","SEM AÇÃO"))))</f>
        <v/>
      </c>
      <c r="P223" s="25">
        <f>IF(COUNTA($A223:$B223,$E223:$G223,$R223)=0,"",IF($S223&lt;&gt;"OK","REVISAR",IF(OR($D223&lt;&gt;"Ativo",$H223&lt;&gt;"Sim"),IF($F223&gt;0,"ALTO","SEM EXPOSIÇÃO"),IF(OR($F223&gt;$M223,SUMIFS($F$6:$F$305,$B$6:$B$305,$B223,$S$6:$S$305,"OK")&gt;$L223),"ALTO",IF(AND($F223&gt;0,$L223&lt;=$K223),"MÉDIO","BAIXO")))))</f>
        <v/>
      </c>
      <c r="Q223" s="25">
        <f>IF(COUNTA($A223:$B223,$E223:$G223,$R223)=0,"",IF($S223&lt;&gt;"OK","REVISAR",IF($O223="SEM AÇÃO","BAIXA",IF(OR($P223="ALTO",ABS($N223)&gt;='Configurações'!$B$3),"URGENTE",IF(OR($P223="MÉDIO",'Configurações'!$B$5-$R223&gt;'Configurações'!$B$4),"ALTA","NORMAL")))))</f>
        <v/>
      </c>
      <c r="R223" s="23" t="n"/>
      <c r="S223" s="25">
        <f>IF(COUNTA($A223:$B223,$E223:$G223,$R223)=0,"",IF($A223="","ID AUSENTE",IF(COUNTIF($A$6:$A$305,$A223)&gt;1,"ID DUPLICADO",IF($B223="","SKU AUSENTE",IF(COUNTIF('Estoque Central'!$A$6:$A$205,$B223)=0,"SKU NÃO CADASTRADO",IF(IFERROR(VLOOKUP($B223,'Estoque Central'!$A$6:$M$205,13,FALSE),"")&lt;&gt;"OK","ESTOQUE CENTRAL COM PENDÊNCIA",IF($E223="","CANAL AUSENTE",IF(COUNTIF('Configurações'!$A$11:$A$20,$E223)=0,"CANAL NÃO CONFIGURADO",IF(IFERROR(VLOOKUP($E223,'Configurações'!$A$11:$F$20,6,FALSE),"")&lt;&gt;"OK","CANAL COM PENDÊNCIA",IF(COUNTIFS($B$6:$B$305,$B223,$E$6:$E$305,$E223)&gt;1,"SKU/CANAL DUPLICADO",IF(IFERROR(OR(NOT(ISNUMBER($F223)),$F223&lt;0,MOD($F223,1)&lt;&gt;0),TRUE),"SALDO PUBLICADO INVÁLIDO",IF(IFERROR(OR(NOT(ISNUMBER($G223)),$G223&lt;0,MOD($G223,1)&lt;&gt;0),TRUE),"PEDIDOS PENDENTES INVÁLIDOS",IF(IFERROR(OR(NOT(ISNUMBER($R223)),$R223&gt;'Configurações'!$B$5),TRUE),"DATA INVÁLIDA","OK")))))))))))))</f>
        <v/>
      </c>
    </row>
    <row r="224">
      <c r="A224" s="21" t="n"/>
      <c r="B224" s="21" t="n"/>
      <c r="C224" s="27">
        <f>IFERROR(VLOOKUP($B224,'Estoque Central'!$A$6:$M$205,2,FALSE),"")</f>
        <v/>
      </c>
      <c r="D224" s="25">
        <f>IFERROR(VLOOKUP($B224,'Estoque Central'!$A$6:$M$205,3,FALSE),"")</f>
        <v/>
      </c>
      <c r="E224" s="21" t="n"/>
      <c r="F224" s="22" t="n"/>
      <c r="G224" s="22" t="n"/>
      <c r="H224" s="25">
        <f>IFERROR(VLOOKUP($E224,'Configurações'!$A$11:$F$20,2,FALSE),"")</f>
        <v/>
      </c>
      <c r="I224" s="28">
        <f>IFERROR(VLOOKUP($E224,'Configurações'!$A$11:$F$20,3,FALSE),"")</f>
        <v/>
      </c>
      <c r="J224" s="24">
        <f>IFERROR(VLOOKUP($E224,'Configurações'!$A$11:$F$20,4,FALSE),"")</f>
        <v/>
      </c>
      <c r="K224" s="24">
        <f>IFERROR(VLOOKUP($E224,'Configurações'!$A$11:$F$20,5,FALSE),"")</f>
        <v/>
      </c>
      <c r="L224" s="24">
        <f>IFERROR(VLOOKUP($B224,'Estoque Central'!$A$6:$M$205,9,FALSE),"")</f>
        <v/>
      </c>
      <c r="M224" s="24">
        <f>IF(COUNTA($A224:$B224,$E224:$G224,$R224)=0,"",IFERROR(IF(OR($C224="",$H224=""),"",IF(OR($D224&lt;&gt;"Ativo",$H224&lt;&gt;"Sim"),0,MIN(IF($J224="",$L224,$J224),ROUNDDOWN($L224*$I224,0)))),""))</f>
        <v/>
      </c>
      <c r="N224" s="24">
        <f>IF(OR($M224="",NOT(ISNUMBER($F224))),"",$M224-$F224)</f>
        <v/>
      </c>
      <c r="O224" s="25">
        <f>IF(COUNTA($A224:$B224,$E224:$G224,$R224)=0,"",IF($S224&lt;&gt;"OK","REVISAR CADASTRO",IF($N224&gt;0,"AUMENTAR",IF($N224&lt;0,"REDUZIR","SEM AÇÃO"))))</f>
        <v/>
      </c>
      <c r="P224" s="25">
        <f>IF(COUNTA($A224:$B224,$E224:$G224,$R224)=0,"",IF($S224&lt;&gt;"OK","REVISAR",IF(OR($D224&lt;&gt;"Ativo",$H224&lt;&gt;"Sim"),IF($F224&gt;0,"ALTO","SEM EXPOSIÇÃO"),IF(OR($F224&gt;$M224,SUMIFS($F$6:$F$305,$B$6:$B$305,$B224,$S$6:$S$305,"OK")&gt;$L224),"ALTO",IF(AND($F224&gt;0,$L224&lt;=$K224),"MÉDIO","BAIXO")))))</f>
        <v/>
      </c>
      <c r="Q224" s="25">
        <f>IF(COUNTA($A224:$B224,$E224:$G224,$R224)=0,"",IF($S224&lt;&gt;"OK","REVISAR",IF($O224="SEM AÇÃO","BAIXA",IF(OR($P224="ALTO",ABS($N224)&gt;='Configurações'!$B$3),"URGENTE",IF(OR($P224="MÉDIO",'Configurações'!$B$5-$R224&gt;'Configurações'!$B$4),"ALTA","NORMAL")))))</f>
        <v/>
      </c>
      <c r="R224" s="23" t="n"/>
      <c r="S224" s="25">
        <f>IF(COUNTA($A224:$B224,$E224:$G224,$R224)=0,"",IF($A224="","ID AUSENTE",IF(COUNTIF($A$6:$A$305,$A224)&gt;1,"ID DUPLICADO",IF($B224="","SKU AUSENTE",IF(COUNTIF('Estoque Central'!$A$6:$A$205,$B224)=0,"SKU NÃO CADASTRADO",IF(IFERROR(VLOOKUP($B224,'Estoque Central'!$A$6:$M$205,13,FALSE),"")&lt;&gt;"OK","ESTOQUE CENTRAL COM PENDÊNCIA",IF($E224="","CANAL AUSENTE",IF(COUNTIF('Configurações'!$A$11:$A$20,$E224)=0,"CANAL NÃO CONFIGURADO",IF(IFERROR(VLOOKUP($E224,'Configurações'!$A$11:$F$20,6,FALSE),"")&lt;&gt;"OK","CANAL COM PENDÊNCIA",IF(COUNTIFS($B$6:$B$305,$B224,$E$6:$E$305,$E224)&gt;1,"SKU/CANAL DUPLICADO",IF(IFERROR(OR(NOT(ISNUMBER($F224)),$F224&lt;0,MOD($F224,1)&lt;&gt;0),TRUE),"SALDO PUBLICADO INVÁLIDO",IF(IFERROR(OR(NOT(ISNUMBER($G224)),$G224&lt;0,MOD($G224,1)&lt;&gt;0),TRUE),"PEDIDOS PENDENTES INVÁLIDOS",IF(IFERROR(OR(NOT(ISNUMBER($R224)),$R224&gt;'Configurações'!$B$5),TRUE),"DATA INVÁLIDA","OK")))))))))))))</f>
        <v/>
      </c>
    </row>
    <row r="225">
      <c r="A225" s="21" t="n"/>
      <c r="B225" s="21" t="n"/>
      <c r="C225" s="27">
        <f>IFERROR(VLOOKUP($B225,'Estoque Central'!$A$6:$M$205,2,FALSE),"")</f>
        <v/>
      </c>
      <c r="D225" s="25">
        <f>IFERROR(VLOOKUP($B225,'Estoque Central'!$A$6:$M$205,3,FALSE),"")</f>
        <v/>
      </c>
      <c r="E225" s="21" t="n"/>
      <c r="F225" s="22" t="n"/>
      <c r="G225" s="22" t="n"/>
      <c r="H225" s="25">
        <f>IFERROR(VLOOKUP($E225,'Configurações'!$A$11:$F$20,2,FALSE),"")</f>
        <v/>
      </c>
      <c r="I225" s="28">
        <f>IFERROR(VLOOKUP($E225,'Configurações'!$A$11:$F$20,3,FALSE),"")</f>
        <v/>
      </c>
      <c r="J225" s="24">
        <f>IFERROR(VLOOKUP($E225,'Configurações'!$A$11:$F$20,4,FALSE),"")</f>
        <v/>
      </c>
      <c r="K225" s="24">
        <f>IFERROR(VLOOKUP($E225,'Configurações'!$A$11:$F$20,5,FALSE),"")</f>
        <v/>
      </c>
      <c r="L225" s="24">
        <f>IFERROR(VLOOKUP($B225,'Estoque Central'!$A$6:$M$205,9,FALSE),"")</f>
        <v/>
      </c>
      <c r="M225" s="24">
        <f>IF(COUNTA($A225:$B225,$E225:$G225,$R225)=0,"",IFERROR(IF(OR($C225="",$H225=""),"",IF(OR($D225&lt;&gt;"Ativo",$H225&lt;&gt;"Sim"),0,MIN(IF($J225="",$L225,$J225),ROUNDDOWN($L225*$I225,0)))),""))</f>
        <v/>
      </c>
      <c r="N225" s="24">
        <f>IF(OR($M225="",NOT(ISNUMBER($F225))),"",$M225-$F225)</f>
        <v/>
      </c>
      <c r="O225" s="25">
        <f>IF(COUNTA($A225:$B225,$E225:$G225,$R225)=0,"",IF($S225&lt;&gt;"OK","REVISAR CADASTRO",IF($N225&gt;0,"AUMENTAR",IF($N225&lt;0,"REDUZIR","SEM AÇÃO"))))</f>
        <v/>
      </c>
      <c r="P225" s="25">
        <f>IF(COUNTA($A225:$B225,$E225:$G225,$R225)=0,"",IF($S225&lt;&gt;"OK","REVISAR",IF(OR($D225&lt;&gt;"Ativo",$H225&lt;&gt;"Sim"),IF($F225&gt;0,"ALTO","SEM EXPOSIÇÃO"),IF(OR($F225&gt;$M225,SUMIFS($F$6:$F$305,$B$6:$B$305,$B225,$S$6:$S$305,"OK")&gt;$L225),"ALTO",IF(AND($F225&gt;0,$L225&lt;=$K225),"MÉDIO","BAIXO")))))</f>
        <v/>
      </c>
      <c r="Q225" s="25">
        <f>IF(COUNTA($A225:$B225,$E225:$G225,$R225)=0,"",IF($S225&lt;&gt;"OK","REVISAR",IF($O225="SEM AÇÃO","BAIXA",IF(OR($P225="ALTO",ABS($N225)&gt;='Configurações'!$B$3),"URGENTE",IF(OR($P225="MÉDIO",'Configurações'!$B$5-$R225&gt;'Configurações'!$B$4),"ALTA","NORMAL")))))</f>
        <v/>
      </c>
      <c r="R225" s="23" t="n"/>
      <c r="S225" s="25">
        <f>IF(COUNTA($A225:$B225,$E225:$G225,$R225)=0,"",IF($A225="","ID AUSENTE",IF(COUNTIF($A$6:$A$305,$A225)&gt;1,"ID DUPLICADO",IF($B225="","SKU AUSENTE",IF(COUNTIF('Estoque Central'!$A$6:$A$205,$B225)=0,"SKU NÃO CADASTRADO",IF(IFERROR(VLOOKUP($B225,'Estoque Central'!$A$6:$M$205,13,FALSE),"")&lt;&gt;"OK","ESTOQUE CENTRAL COM PENDÊNCIA",IF($E225="","CANAL AUSENTE",IF(COUNTIF('Configurações'!$A$11:$A$20,$E225)=0,"CANAL NÃO CONFIGURADO",IF(IFERROR(VLOOKUP($E225,'Configurações'!$A$11:$F$20,6,FALSE),"")&lt;&gt;"OK","CANAL COM PENDÊNCIA",IF(COUNTIFS($B$6:$B$305,$B225,$E$6:$E$305,$E225)&gt;1,"SKU/CANAL DUPLICADO",IF(IFERROR(OR(NOT(ISNUMBER($F225)),$F225&lt;0,MOD($F225,1)&lt;&gt;0),TRUE),"SALDO PUBLICADO INVÁLIDO",IF(IFERROR(OR(NOT(ISNUMBER($G225)),$G225&lt;0,MOD($G225,1)&lt;&gt;0),TRUE),"PEDIDOS PENDENTES INVÁLIDOS",IF(IFERROR(OR(NOT(ISNUMBER($R225)),$R225&gt;'Configurações'!$B$5),TRUE),"DATA INVÁLIDA","OK")))))))))))))</f>
        <v/>
      </c>
    </row>
    <row r="226">
      <c r="A226" s="21" t="n"/>
      <c r="B226" s="21" t="n"/>
      <c r="C226" s="27">
        <f>IFERROR(VLOOKUP($B226,'Estoque Central'!$A$6:$M$205,2,FALSE),"")</f>
        <v/>
      </c>
      <c r="D226" s="25">
        <f>IFERROR(VLOOKUP($B226,'Estoque Central'!$A$6:$M$205,3,FALSE),"")</f>
        <v/>
      </c>
      <c r="E226" s="21" t="n"/>
      <c r="F226" s="22" t="n"/>
      <c r="G226" s="22" t="n"/>
      <c r="H226" s="25">
        <f>IFERROR(VLOOKUP($E226,'Configurações'!$A$11:$F$20,2,FALSE),"")</f>
        <v/>
      </c>
      <c r="I226" s="28">
        <f>IFERROR(VLOOKUP($E226,'Configurações'!$A$11:$F$20,3,FALSE),"")</f>
        <v/>
      </c>
      <c r="J226" s="24">
        <f>IFERROR(VLOOKUP($E226,'Configurações'!$A$11:$F$20,4,FALSE),"")</f>
        <v/>
      </c>
      <c r="K226" s="24">
        <f>IFERROR(VLOOKUP($E226,'Configurações'!$A$11:$F$20,5,FALSE),"")</f>
        <v/>
      </c>
      <c r="L226" s="24">
        <f>IFERROR(VLOOKUP($B226,'Estoque Central'!$A$6:$M$205,9,FALSE),"")</f>
        <v/>
      </c>
      <c r="M226" s="24">
        <f>IF(COUNTA($A226:$B226,$E226:$G226,$R226)=0,"",IFERROR(IF(OR($C226="",$H226=""),"",IF(OR($D226&lt;&gt;"Ativo",$H226&lt;&gt;"Sim"),0,MIN(IF($J226="",$L226,$J226),ROUNDDOWN($L226*$I226,0)))),""))</f>
        <v/>
      </c>
      <c r="N226" s="24">
        <f>IF(OR($M226="",NOT(ISNUMBER($F226))),"",$M226-$F226)</f>
        <v/>
      </c>
      <c r="O226" s="25">
        <f>IF(COUNTA($A226:$B226,$E226:$G226,$R226)=0,"",IF($S226&lt;&gt;"OK","REVISAR CADASTRO",IF($N226&gt;0,"AUMENTAR",IF($N226&lt;0,"REDUZIR","SEM AÇÃO"))))</f>
        <v/>
      </c>
      <c r="P226" s="25">
        <f>IF(COUNTA($A226:$B226,$E226:$G226,$R226)=0,"",IF($S226&lt;&gt;"OK","REVISAR",IF(OR($D226&lt;&gt;"Ativo",$H226&lt;&gt;"Sim"),IF($F226&gt;0,"ALTO","SEM EXPOSIÇÃO"),IF(OR($F226&gt;$M226,SUMIFS($F$6:$F$305,$B$6:$B$305,$B226,$S$6:$S$305,"OK")&gt;$L226),"ALTO",IF(AND($F226&gt;0,$L226&lt;=$K226),"MÉDIO","BAIXO")))))</f>
        <v/>
      </c>
      <c r="Q226" s="25">
        <f>IF(COUNTA($A226:$B226,$E226:$G226,$R226)=0,"",IF($S226&lt;&gt;"OK","REVISAR",IF($O226="SEM AÇÃO","BAIXA",IF(OR($P226="ALTO",ABS($N226)&gt;='Configurações'!$B$3),"URGENTE",IF(OR($P226="MÉDIO",'Configurações'!$B$5-$R226&gt;'Configurações'!$B$4),"ALTA","NORMAL")))))</f>
        <v/>
      </c>
      <c r="R226" s="23" t="n"/>
      <c r="S226" s="25">
        <f>IF(COUNTA($A226:$B226,$E226:$G226,$R226)=0,"",IF($A226="","ID AUSENTE",IF(COUNTIF($A$6:$A$305,$A226)&gt;1,"ID DUPLICADO",IF($B226="","SKU AUSENTE",IF(COUNTIF('Estoque Central'!$A$6:$A$205,$B226)=0,"SKU NÃO CADASTRADO",IF(IFERROR(VLOOKUP($B226,'Estoque Central'!$A$6:$M$205,13,FALSE),"")&lt;&gt;"OK","ESTOQUE CENTRAL COM PENDÊNCIA",IF($E226="","CANAL AUSENTE",IF(COUNTIF('Configurações'!$A$11:$A$20,$E226)=0,"CANAL NÃO CONFIGURADO",IF(IFERROR(VLOOKUP($E226,'Configurações'!$A$11:$F$20,6,FALSE),"")&lt;&gt;"OK","CANAL COM PENDÊNCIA",IF(COUNTIFS($B$6:$B$305,$B226,$E$6:$E$305,$E226)&gt;1,"SKU/CANAL DUPLICADO",IF(IFERROR(OR(NOT(ISNUMBER($F226)),$F226&lt;0,MOD($F226,1)&lt;&gt;0),TRUE),"SALDO PUBLICADO INVÁLIDO",IF(IFERROR(OR(NOT(ISNUMBER($G226)),$G226&lt;0,MOD($G226,1)&lt;&gt;0),TRUE),"PEDIDOS PENDENTES INVÁLIDOS",IF(IFERROR(OR(NOT(ISNUMBER($R226)),$R226&gt;'Configurações'!$B$5),TRUE),"DATA INVÁLIDA","OK")))))))))))))</f>
        <v/>
      </c>
    </row>
    <row r="227">
      <c r="A227" s="21" t="n"/>
      <c r="B227" s="21" t="n"/>
      <c r="C227" s="27">
        <f>IFERROR(VLOOKUP($B227,'Estoque Central'!$A$6:$M$205,2,FALSE),"")</f>
        <v/>
      </c>
      <c r="D227" s="25">
        <f>IFERROR(VLOOKUP($B227,'Estoque Central'!$A$6:$M$205,3,FALSE),"")</f>
        <v/>
      </c>
      <c r="E227" s="21" t="n"/>
      <c r="F227" s="22" t="n"/>
      <c r="G227" s="22" t="n"/>
      <c r="H227" s="25">
        <f>IFERROR(VLOOKUP($E227,'Configurações'!$A$11:$F$20,2,FALSE),"")</f>
        <v/>
      </c>
      <c r="I227" s="28">
        <f>IFERROR(VLOOKUP($E227,'Configurações'!$A$11:$F$20,3,FALSE),"")</f>
        <v/>
      </c>
      <c r="J227" s="24">
        <f>IFERROR(VLOOKUP($E227,'Configurações'!$A$11:$F$20,4,FALSE),"")</f>
        <v/>
      </c>
      <c r="K227" s="24">
        <f>IFERROR(VLOOKUP($E227,'Configurações'!$A$11:$F$20,5,FALSE),"")</f>
        <v/>
      </c>
      <c r="L227" s="24">
        <f>IFERROR(VLOOKUP($B227,'Estoque Central'!$A$6:$M$205,9,FALSE),"")</f>
        <v/>
      </c>
      <c r="M227" s="24">
        <f>IF(COUNTA($A227:$B227,$E227:$G227,$R227)=0,"",IFERROR(IF(OR($C227="",$H227=""),"",IF(OR($D227&lt;&gt;"Ativo",$H227&lt;&gt;"Sim"),0,MIN(IF($J227="",$L227,$J227),ROUNDDOWN($L227*$I227,0)))),""))</f>
        <v/>
      </c>
      <c r="N227" s="24">
        <f>IF(OR($M227="",NOT(ISNUMBER($F227))),"",$M227-$F227)</f>
        <v/>
      </c>
      <c r="O227" s="25">
        <f>IF(COUNTA($A227:$B227,$E227:$G227,$R227)=0,"",IF($S227&lt;&gt;"OK","REVISAR CADASTRO",IF($N227&gt;0,"AUMENTAR",IF($N227&lt;0,"REDUZIR","SEM AÇÃO"))))</f>
        <v/>
      </c>
      <c r="P227" s="25">
        <f>IF(COUNTA($A227:$B227,$E227:$G227,$R227)=0,"",IF($S227&lt;&gt;"OK","REVISAR",IF(OR($D227&lt;&gt;"Ativo",$H227&lt;&gt;"Sim"),IF($F227&gt;0,"ALTO","SEM EXPOSIÇÃO"),IF(OR($F227&gt;$M227,SUMIFS($F$6:$F$305,$B$6:$B$305,$B227,$S$6:$S$305,"OK")&gt;$L227),"ALTO",IF(AND($F227&gt;0,$L227&lt;=$K227),"MÉDIO","BAIXO")))))</f>
        <v/>
      </c>
      <c r="Q227" s="25">
        <f>IF(COUNTA($A227:$B227,$E227:$G227,$R227)=0,"",IF($S227&lt;&gt;"OK","REVISAR",IF($O227="SEM AÇÃO","BAIXA",IF(OR($P227="ALTO",ABS($N227)&gt;='Configurações'!$B$3),"URGENTE",IF(OR($P227="MÉDIO",'Configurações'!$B$5-$R227&gt;'Configurações'!$B$4),"ALTA","NORMAL")))))</f>
        <v/>
      </c>
      <c r="R227" s="23" t="n"/>
      <c r="S227" s="25">
        <f>IF(COUNTA($A227:$B227,$E227:$G227,$R227)=0,"",IF($A227="","ID AUSENTE",IF(COUNTIF($A$6:$A$305,$A227)&gt;1,"ID DUPLICADO",IF($B227="","SKU AUSENTE",IF(COUNTIF('Estoque Central'!$A$6:$A$205,$B227)=0,"SKU NÃO CADASTRADO",IF(IFERROR(VLOOKUP($B227,'Estoque Central'!$A$6:$M$205,13,FALSE),"")&lt;&gt;"OK","ESTOQUE CENTRAL COM PENDÊNCIA",IF($E227="","CANAL AUSENTE",IF(COUNTIF('Configurações'!$A$11:$A$20,$E227)=0,"CANAL NÃO CONFIGURADO",IF(IFERROR(VLOOKUP($E227,'Configurações'!$A$11:$F$20,6,FALSE),"")&lt;&gt;"OK","CANAL COM PENDÊNCIA",IF(COUNTIFS($B$6:$B$305,$B227,$E$6:$E$305,$E227)&gt;1,"SKU/CANAL DUPLICADO",IF(IFERROR(OR(NOT(ISNUMBER($F227)),$F227&lt;0,MOD($F227,1)&lt;&gt;0),TRUE),"SALDO PUBLICADO INVÁLIDO",IF(IFERROR(OR(NOT(ISNUMBER($G227)),$G227&lt;0,MOD($G227,1)&lt;&gt;0),TRUE),"PEDIDOS PENDENTES INVÁLIDOS",IF(IFERROR(OR(NOT(ISNUMBER($R227)),$R227&gt;'Configurações'!$B$5),TRUE),"DATA INVÁLIDA","OK")))))))))))))</f>
        <v/>
      </c>
    </row>
    <row r="228">
      <c r="A228" s="21" t="n"/>
      <c r="B228" s="21" t="n"/>
      <c r="C228" s="27">
        <f>IFERROR(VLOOKUP($B228,'Estoque Central'!$A$6:$M$205,2,FALSE),"")</f>
        <v/>
      </c>
      <c r="D228" s="25">
        <f>IFERROR(VLOOKUP($B228,'Estoque Central'!$A$6:$M$205,3,FALSE),"")</f>
        <v/>
      </c>
      <c r="E228" s="21" t="n"/>
      <c r="F228" s="22" t="n"/>
      <c r="G228" s="22" t="n"/>
      <c r="H228" s="25">
        <f>IFERROR(VLOOKUP($E228,'Configurações'!$A$11:$F$20,2,FALSE),"")</f>
        <v/>
      </c>
      <c r="I228" s="28">
        <f>IFERROR(VLOOKUP($E228,'Configurações'!$A$11:$F$20,3,FALSE),"")</f>
        <v/>
      </c>
      <c r="J228" s="24">
        <f>IFERROR(VLOOKUP($E228,'Configurações'!$A$11:$F$20,4,FALSE),"")</f>
        <v/>
      </c>
      <c r="K228" s="24">
        <f>IFERROR(VLOOKUP($E228,'Configurações'!$A$11:$F$20,5,FALSE),"")</f>
        <v/>
      </c>
      <c r="L228" s="24">
        <f>IFERROR(VLOOKUP($B228,'Estoque Central'!$A$6:$M$205,9,FALSE),"")</f>
        <v/>
      </c>
      <c r="M228" s="24">
        <f>IF(COUNTA($A228:$B228,$E228:$G228,$R228)=0,"",IFERROR(IF(OR($C228="",$H228=""),"",IF(OR($D228&lt;&gt;"Ativo",$H228&lt;&gt;"Sim"),0,MIN(IF($J228="",$L228,$J228),ROUNDDOWN($L228*$I228,0)))),""))</f>
        <v/>
      </c>
      <c r="N228" s="24">
        <f>IF(OR($M228="",NOT(ISNUMBER($F228))),"",$M228-$F228)</f>
        <v/>
      </c>
      <c r="O228" s="25">
        <f>IF(COUNTA($A228:$B228,$E228:$G228,$R228)=0,"",IF($S228&lt;&gt;"OK","REVISAR CADASTRO",IF($N228&gt;0,"AUMENTAR",IF($N228&lt;0,"REDUZIR","SEM AÇÃO"))))</f>
        <v/>
      </c>
      <c r="P228" s="25">
        <f>IF(COUNTA($A228:$B228,$E228:$G228,$R228)=0,"",IF($S228&lt;&gt;"OK","REVISAR",IF(OR($D228&lt;&gt;"Ativo",$H228&lt;&gt;"Sim"),IF($F228&gt;0,"ALTO","SEM EXPOSIÇÃO"),IF(OR($F228&gt;$M228,SUMIFS($F$6:$F$305,$B$6:$B$305,$B228,$S$6:$S$305,"OK")&gt;$L228),"ALTO",IF(AND($F228&gt;0,$L228&lt;=$K228),"MÉDIO","BAIXO")))))</f>
        <v/>
      </c>
      <c r="Q228" s="25">
        <f>IF(COUNTA($A228:$B228,$E228:$G228,$R228)=0,"",IF($S228&lt;&gt;"OK","REVISAR",IF($O228="SEM AÇÃO","BAIXA",IF(OR($P228="ALTO",ABS($N228)&gt;='Configurações'!$B$3),"URGENTE",IF(OR($P228="MÉDIO",'Configurações'!$B$5-$R228&gt;'Configurações'!$B$4),"ALTA","NORMAL")))))</f>
        <v/>
      </c>
      <c r="R228" s="23" t="n"/>
      <c r="S228" s="25">
        <f>IF(COUNTA($A228:$B228,$E228:$G228,$R228)=0,"",IF($A228="","ID AUSENTE",IF(COUNTIF($A$6:$A$305,$A228)&gt;1,"ID DUPLICADO",IF($B228="","SKU AUSENTE",IF(COUNTIF('Estoque Central'!$A$6:$A$205,$B228)=0,"SKU NÃO CADASTRADO",IF(IFERROR(VLOOKUP($B228,'Estoque Central'!$A$6:$M$205,13,FALSE),"")&lt;&gt;"OK","ESTOQUE CENTRAL COM PENDÊNCIA",IF($E228="","CANAL AUSENTE",IF(COUNTIF('Configurações'!$A$11:$A$20,$E228)=0,"CANAL NÃO CONFIGURADO",IF(IFERROR(VLOOKUP($E228,'Configurações'!$A$11:$F$20,6,FALSE),"")&lt;&gt;"OK","CANAL COM PENDÊNCIA",IF(COUNTIFS($B$6:$B$305,$B228,$E$6:$E$305,$E228)&gt;1,"SKU/CANAL DUPLICADO",IF(IFERROR(OR(NOT(ISNUMBER($F228)),$F228&lt;0,MOD($F228,1)&lt;&gt;0),TRUE),"SALDO PUBLICADO INVÁLIDO",IF(IFERROR(OR(NOT(ISNUMBER($G228)),$G228&lt;0,MOD($G228,1)&lt;&gt;0),TRUE),"PEDIDOS PENDENTES INVÁLIDOS",IF(IFERROR(OR(NOT(ISNUMBER($R228)),$R228&gt;'Configurações'!$B$5),TRUE),"DATA INVÁLIDA","OK")))))))))))))</f>
        <v/>
      </c>
    </row>
    <row r="229">
      <c r="A229" s="21" t="n"/>
      <c r="B229" s="21" t="n"/>
      <c r="C229" s="27">
        <f>IFERROR(VLOOKUP($B229,'Estoque Central'!$A$6:$M$205,2,FALSE),"")</f>
        <v/>
      </c>
      <c r="D229" s="25">
        <f>IFERROR(VLOOKUP($B229,'Estoque Central'!$A$6:$M$205,3,FALSE),"")</f>
        <v/>
      </c>
      <c r="E229" s="21" t="n"/>
      <c r="F229" s="22" t="n"/>
      <c r="G229" s="22" t="n"/>
      <c r="H229" s="25">
        <f>IFERROR(VLOOKUP($E229,'Configurações'!$A$11:$F$20,2,FALSE),"")</f>
        <v/>
      </c>
      <c r="I229" s="28">
        <f>IFERROR(VLOOKUP($E229,'Configurações'!$A$11:$F$20,3,FALSE),"")</f>
        <v/>
      </c>
      <c r="J229" s="24">
        <f>IFERROR(VLOOKUP($E229,'Configurações'!$A$11:$F$20,4,FALSE),"")</f>
        <v/>
      </c>
      <c r="K229" s="24">
        <f>IFERROR(VLOOKUP($E229,'Configurações'!$A$11:$F$20,5,FALSE),"")</f>
        <v/>
      </c>
      <c r="L229" s="24">
        <f>IFERROR(VLOOKUP($B229,'Estoque Central'!$A$6:$M$205,9,FALSE),"")</f>
        <v/>
      </c>
      <c r="M229" s="24">
        <f>IF(COUNTA($A229:$B229,$E229:$G229,$R229)=0,"",IFERROR(IF(OR($C229="",$H229=""),"",IF(OR($D229&lt;&gt;"Ativo",$H229&lt;&gt;"Sim"),0,MIN(IF($J229="",$L229,$J229),ROUNDDOWN($L229*$I229,0)))),""))</f>
        <v/>
      </c>
      <c r="N229" s="24">
        <f>IF(OR($M229="",NOT(ISNUMBER($F229))),"",$M229-$F229)</f>
        <v/>
      </c>
      <c r="O229" s="25">
        <f>IF(COUNTA($A229:$B229,$E229:$G229,$R229)=0,"",IF($S229&lt;&gt;"OK","REVISAR CADASTRO",IF($N229&gt;0,"AUMENTAR",IF($N229&lt;0,"REDUZIR","SEM AÇÃO"))))</f>
        <v/>
      </c>
      <c r="P229" s="25">
        <f>IF(COUNTA($A229:$B229,$E229:$G229,$R229)=0,"",IF($S229&lt;&gt;"OK","REVISAR",IF(OR($D229&lt;&gt;"Ativo",$H229&lt;&gt;"Sim"),IF($F229&gt;0,"ALTO","SEM EXPOSIÇÃO"),IF(OR($F229&gt;$M229,SUMIFS($F$6:$F$305,$B$6:$B$305,$B229,$S$6:$S$305,"OK")&gt;$L229),"ALTO",IF(AND($F229&gt;0,$L229&lt;=$K229),"MÉDIO","BAIXO")))))</f>
        <v/>
      </c>
      <c r="Q229" s="25">
        <f>IF(COUNTA($A229:$B229,$E229:$G229,$R229)=0,"",IF($S229&lt;&gt;"OK","REVISAR",IF($O229="SEM AÇÃO","BAIXA",IF(OR($P229="ALTO",ABS($N229)&gt;='Configurações'!$B$3),"URGENTE",IF(OR($P229="MÉDIO",'Configurações'!$B$5-$R229&gt;'Configurações'!$B$4),"ALTA","NORMAL")))))</f>
        <v/>
      </c>
      <c r="R229" s="23" t="n"/>
      <c r="S229" s="25">
        <f>IF(COUNTA($A229:$B229,$E229:$G229,$R229)=0,"",IF($A229="","ID AUSENTE",IF(COUNTIF($A$6:$A$305,$A229)&gt;1,"ID DUPLICADO",IF($B229="","SKU AUSENTE",IF(COUNTIF('Estoque Central'!$A$6:$A$205,$B229)=0,"SKU NÃO CADASTRADO",IF(IFERROR(VLOOKUP($B229,'Estoque Central'!$A$6:$M$205,13,FALSE),"")&lt;&gt;"OK","ESTOQUE CENTRAL COM PENDÊNCIA",IF($E229="","CANAL AUSENTE",IF(COUNTIF('Configurações'!$A$11:$A$20,$E229)=0,"CANAL NÃO CONFIGURADO",IF(IFERROR(VLOOKUP($E229,'Configurações'!$A$11:$F$20,6,FALSE),"")&lt;&gt;"OK","CANAL COM PENDÊNCIA",IF(COUNTIFS($B$6:$B$305,$B229,$E$6:$E$305,$E229)&gt;1,"SKU/CANAL DUPLICADO",IF(IFERROR(OR(NOT(ISNUMBER($F229)),$F229&lt;0,MOD($F229,1)&lt;&gt;0),TRUE),"SALDO PUBLICADO INVÁLIDO",IF(IFERROR(OR(NOT(ISNUMBER($G229)),$G229&lt;0,MOD($G229,1)&lt;&gt;0),TRUE),"PEDIDOS PENDENTES INVÁLIDOS",IF(IFERROR(OR(NOT(ISNUMBER($R229)),$R229&gt;'Configurações'!$B$5),TRUE),"DATA INVÁLIDA","OK")))))))))))))</f>
        <v/>
      </c>
    </row>
    <row r="230">
      <c r="A230" s="21" t="n"/>
      <c r="B230" s="21" t="n"/>
      <c r="C230" s="27">
        <f>IFERROR(VLOOKUP($B230,'Estoque Central'!$A$6:$M$205,2,FALSE),"")</f>
        <v/>
      </c>
      <c r="D230" s="25">
        <f>IFERROR(VLOOKUP($B230,'Estoque Central'!$A$6:$M$205,3,FALSE),"")</f>
        <v/>
      </c>
      <c r="E230" s="21" t="n"/>
      <c r="F230" s="22" t="n"/>
      <c r="G230" s="22" t="n"/>
      <c r="H230" s="25">
        <f>IFERROR(VLOOKUP($E230,'Configurações'!$A$11:$F$20,2,FALSE),"")</f>
        <v/>
      </c>
      <c r="I230" s="28">
        <f>IFERROR(VLOOKUP($E230,'Configurações'!$A$11:$F$20,3,FALSE),"")</f>
        <v/>
      </c>
      <c r="J230" s="24">
        <f>IFERROR(VLOOKUP($E230,'Configurações'!$A$11:$F$20,4,FALSE),"")</f>
        <v/>
      </c>
      <c r="K230" s="24">
        <f>IFERROR(VLOOKUP($E230,'Configurações'!$A$11:$F$20,5,FALSE),"")</f>
        <v/>
      </c>
      <c r="L230" s="24">
        <f>IFERROR(VLOOKUP($B230,'Estoque Central'!$A$6:$M$205,9,FALSE),"")</f>
        <v/>
      </c>
      <c r="M230" s="24">
        <f>IF(COUNTA($A230:$B230,$E230:$G230,$R230)=0,"",IFERROR(IF(OR($C230="",$H230=""),"",IF(OR($D230&lt;&gt;"Ativo",$H230&lt;&gt;"Sim"),0,MIN(IF($J230="",$L230,$J230),ROUNDDOWN($L230*$I230,0)))),""))</f>
        <v/>
      </c>
      <c r="N230" s="24">
        <f>IF(OR($M230="",NOT(ISNUMBER($F230))),"",$M230-$F230)</f>
        <v/>
      </c>
      <c r="O230" s="25">
        <f>IF(COUNTA($A230:$B230,$E230:$G230,$R230)=0,"",IF($S230&lt;&gt;"OK","REVISAR CADASTRO",IF($N230&gt;0,"AUMENTAR",IF($N230&lt;0,"REDUZIR","SEM AÇÃO"))))</f>
        <v/>
      </c>
      <c r="P230" s="25">
        <f>IF(COUNTA($A230:$B230,$E230:$G230,$R230)=0,"",IF($S230&lt;&gt;"OK","REVISAR",IF(OR($D230&lt;&gt;"Ativo",$H230&lt;&gt;"Sim"),IF($F230&gt;0,"ALTO","SEM EXPOSIÇÃO"),IF(OR($F230&gt;$M230,SUMIFS($F$6:$F$305,$B$6:$B$305,$B230,$S$6:$S$305,"OK")&gt;$L230),"ALTO",IF(AND($F230&gt;0,$L230&lt;=$K230),"MÉDIO","BAIXO")))))</f>
        <v/>
      </c>
      <c r="Q230" s="25">
        <f>IF(COUNTA($A230:$B230,$E230:$G230,$R230)=0,"",IF($S230&lt;&gt;"OK","REVISAR",IF($O230="SEM AÇÃO","BAIXA",IF(OR($P230="ALTO",ABS($N230)&gt;='Configurações'!$B$3),"URGENTE",IF(OR($P230="MÉDIO",'Configurações'!$B$5-$R230&gt;'Configurações'!$B$4),"ALTA","NORMAL")))))</f>
        <v/>
      </c>
      <c r="R230" s="23" t="n"/>
      <c r="S230" s="25">
        <f>IF(COUNTA($A230:$B230,$E230:$G230,$R230)=0,"",IF($A230="","ID AUSENTE",IF(COUNTIF($A$6:$A$305,$A230)&gt;1,"ID DUPLICADO",IF($B230="","SKU AUSENTE",IF(COUNTIF('Estoque Central'!$A$6:$A$205,$B230)=0,"SKU NÃO CADASTRADO",IF(IFERROR(VLOOKUP($B230,'Estoque Central'!$A$6:$M$205,13,FALSE),"")&lt;&gt;"OK","ESTOQUE CENTRAL COM PENDÊNCIA",IF($E230="","CANAL AUSENTE",IF(COUNTIF('Configurações'!$A$11:$A$20,$E230)=0,"CANAL NÃO CONFIGURADO",IF(IFERROR(VLOOKUP($E230,'Configurações'!$A$11:$F$20,6,FALSE),"")&lt;&gt;"OK","CANAL COM PENDÊNCIA",IF(COUNTIFS($B$6:$B$305,$B230,$E$6:$E$305,$E230)&gt;1,"SKU/CANAL DUPLICADO",IF(IFERROR(OR(NOT(ISNUMBER($F230)),$F230&lt;0,MOD($F230,1)&lt;&gt;0),TRUE),"SALDO PUBLICADO INVÁLIDO",IF(IFERROR(OR(NOT(ISNUMBER($G230)),$G230&lt;0,MOD($G230,1)&lt;&gt;0),TRUE),"PEDIDOS PENDENTES INVÁLIDOS",IF(IFERROR(OR(NOT(ISNUMBER($R230)),$R230&gt;'Configurações'!$B$5),TRUE),"DATA INVÁLIDA","OK")))))))))))))</f>
        <v/>
      </c>
    </row>
    <row r="231">
      <c r="A231" s="21" t="n"/>
      <c r="B231" s="21" t="n"/>
      <c r="C231" s="27">
        <f>IFERROR(VLOOKUP($B231,'Estoque Central'!$A$6:$M$205,2,FALSE),"")</f>
        <v/>
      </c>
      <c r="D231" s="25">
        <f>IFERROR(VLOOKUP($B231,'Estoque Central'!$A$6:$M$205,3,FALSE),"")</f>
        <v/>
      </c>
      <c r="E231" s="21" t="n"/>
      <c r="F231" s="22" t="n"/>
      <c r="G231" s="22" t="n"/>
      <c r="H231" s="25">
        <f>IFERROR(VLOOKUP($E231,'Configurações'!$A$11:$F$20,2,FALSE),"")</f>
        <v/>
      </c>
      <c r="I231" s="28">
        <f>IFERROR(VLOOKUP($E231,'Configurações'!$A$11:$F$20,3,FALSE),"")</f>
        <v/>
      </c>
      <c r="J231" s="24">
        <f>IFERROR(VLOOKUP($E231,'Configurações'!$A$11:$F$20,4,FALSE),"")</f>
        <v/>
      </c>
      <c r="K231" s="24">
        <f>IFERROR(VLOOKUP($E231,'Configurações'!$A$11:$F$20,5,FALSE),"")</f>
        <v/>
      </c>
      <c r="L231" s="24">
        <f>IFERROR(VLOOKUP($B231,'Estoque Central'!$A$6:$M$205,9,FALSE),"")</f>
        <v/>
      </c>
      <c r="M231" s="24">
        <f>IF(COUNTA($A231:$B231,$E231:$G231,$R231)=0,"",IFERROR(IF(OR($C231="",$H231=""),"",IF(OR($D231&lt;&gt;"Ativo",$H231&lt;&gt;"Sim"),0,MIN(IF($J231="",$L231,$J231),ROUNDDOWN($L231*$I231,0)))),""))</f>
        <v/>
      </c>
      <c r="N231" s="24">
        <f>IF(OR($M231="",NOT(ISNUMBER($F231))),"",$M231-$F231)</f>
        <v/>
      </c>
      <c r="O231" s="25">
        <f>IF(COUNTA($A231:$B231,$E231:$G231,$R231)=0,"",IF($S231&lt;&gt;"OK","REVISAR CADASTRO",IF($N231&gt;0,"AUMENTAR",IF($N231&lt;0,"REDUZIR","SEM AÇÃO"))))</f>
        <v/>
      </c>
      <c r="P231" s="25">
        <f>IF(COUNTA($A231:$B231,$E231:$G231,$R231)=0,"",IF($S231&lt;&gt;"OK","REVISAR",IF(OR($D231&lt;&gt;"Ativo",$H231&lt;&gt;"Sim"),IF($F231&gt;0,"ALTO","SEM EXPOSIÇÃO"),IF(OR($F231&gt;$M231,SUMIFS($F$6:$F$305,$B$6:$B$305,$B231,$S$6:$S$305,"OK")&gt;$L231),"ALTO",IF(AND($F231&gt;0,$L231&lt;=$K231),"MÉDIO","BAIXO")))))</f>
        <v/>
      </c>
      <c r="Q231" s="25">
        <f>IF(COUNTA($A231:$B231,$E231:$G231,$R231)=0,"",IF($S231&lt;&gt;"OK","REVISAR",IF($O231="SEM AÇÃO","BAIXA",IF(OR($P231="ALTO",ABS($N231)&gt;='Configurações'!$B$3),"URGENTE",IF(OR($P231="MÉDIO",'Configurações'!$B$5-$R231&gt;'Configurações'!$B$4),"ALTA","NORMAL")))))</f>
        <v/>
      </c>
      <c r="R231" s="23" t="n"/>
      <c r="S231" s="25">
        <f>IF(COUNTA($A231:$B231,$E231:$G231,$R231)=0,"",IF($A231="","ID AUSENTE",IF(COUNTIF($A$6:$A$305,$A231)&gt;1,"ID DUPLICADO",IF($B231="","SKU AUSENTE",IF(COUNTIF('Estoque Central'!$A$6:$A$205,$B231)=0,"SKU NÃO CADASTRADO",IF(IFERROR(VLOOKUP($B231,'Estoque Central'!$A$6:$M$205,13,FALSE),"")&lt;&gt;"OK","ESTOQUE CENTRAL COM PENDÊNCIA",IF($E231="","CANAL AUSENTE",IF(COUNTIF('Configurações'!$A$11:$A$20,$E231)=0,"CANAL NÃO CONFIGURADO",IF(IFERROR(VLOOKUP($E231,'Configurações'!$A$11:$F$20,6,FALSE),"")&lt;&gt;"OK","CANAL COM PENDÊNCIA",IF(COUNTIFS($B$6:$B$305,$B231,$E$6:$E$305,$E231)&gt;1,"SKU/CANAL DUPLICADO",IF(IFERROR(OR(NOT(ISNUMBER($F231)),$F231&lt;0,MOD($F231,1)&lt;&gt;0),TRUE),"SALDO PUBLICADO INVÁLIDO",IF(IFERROR(OR(NOT(ISNUMBER($G231)),$G231&lt;0,MOD($G231,1)&lt;&gt;0),TRUE),"PEDIDOS PENDENTES INVÁLIDOS",IF(IFERROR(OR(NOT(ISNUMBER($R231)),$R231&gt;'Configurações'!$B$5),TRUE),"DATA INVÁLIDA","OK")))))))))))))</f>
        <v/>
      </c>
    </row>
    <row r="232">
      <c r="A232" s="21" t="n"/>
      <c r="B232" s="21" t="n"/>
      <c r="C232" s="27">
        <f>IFERROR(VLOOKUP($B232,'Estoque Central'!$A$6:$M$205,2,FALSE),"")</f>
        <v/>
      </c>
      <c r="D232" s="25">
        <f>IFERROR(VLOOKUP($B232,'Estoque Central'!$A$6:$M$205,3,FALSE),"")</f>
        <v/>
      </c>
      <c r="E232" s="21" t="n"/>
      <c r="F232" s="22" t="n"/>
      <c r="G232" s="22" t="n"/>
      <c r="H232" s="25">
        <f>IFERROR(VLOOKUP($E232,'Configurações'!$A$11:$F$20,2,FALSE),"")</f>
        <v/>
      </c>
      <c r="I232" s="28">
        <f>IFERROR(VLOOKUP($E232,'Configurações'!$A$11:$F$20,3,FALSE),"")</f>
        <v/>
      </c>
      <c r="J232" s="24">
        <f>IFERROR(VLOOKUP($E232,'Configurações'!$A$11:$F$20,4,FALSE),"")</f>
        <v/>
      </c>
      <c r="K232" s="24">
        <f>IFERROR(VLOOKUP($E232,'Configurações'!$A$11:$F$20,5,FALSE),"")</f>
        <v/>
      </c>
      <c r="L232" s="24">
        <f>IFERROR(VLOOKUP($B232,'Estoque Central'!$A$6:$M$205,9,FALSE),"")</f>
        <v/>
      </c>
      <c r="M232" s="24">
        <f>IF(COUNTA($A232:$B232,$E232:$G232,$R232)=0,"",IFERROR(IF(OR($C232="",$H232=""),"",IF(OR($D232&lt;&gt;"Ativo",$H232&lt;&gt;"Sim"),0,MIN(IF($J232="",$L232,$J232),ROUNDDOWN($L232*$I232,0)))),""))</f>
        <v/>
      </c>
      <c r="N232" s="24">
        <f>IF(OR($M232="",NOT(ISNUMBER($F232))),"",$M232-$F232)</f>
        <v/>
      </c>
      <c r="O232" s="25">
        <f>IF(COUNTA($A232:$B232,$E232:$G232,$R232)=0,"",IF($S232&lt;&gt;"OK","REVISAR CADASTRO",IF($N232&gt;0,"AUMENTAR",IF($N232&lt;0,"REDUZIR","SEM AÇÃO"))))</f>
        <v/>
      </c>
      <c r="P232" s="25">
        <f>IF(COUNTA($A232:$B232,$E232:$G232,$R232)=0,"",IF($S232&lt;&gt;"OK","REVISAR",IF(OR($D232&lt;&gt;"Ativo",$H232&lt;&gt;"Sim"),IF($F232&gt;0,"ALTO","SEM EXPOSIÇÃO"),IF(OR($F232&gt;$M232,SUMIFS($F$6:$F$305,$B$6:$B$305,$B232,$S$6:$S$305,"OK")&gt;$L232),"ALTO",IF(AND($F232&gt;0,$L232&lt;=$K232),"MÉDIO","BAIXO")))))</f>
        <v/>
      </c>
      <c r="Q232" s="25">
        <f>IF(COUNTA($A232:$B232,$E232:$G232,$R232)=0,"",IF($S232&lt;&gt;"OK","REVISAR",IF($O232="SEM AÇÃO","BAIXA",IF(OR($P232="ALTO",ABS($N232)&gt;='Configurações'!$B$3),"URGENTE",IF(OR($P232="MÉDIO",'Configurações'!$B$5-$R232&gt;'Configurações'!$B$4),"ALTA","NORMAL")))))</f>
        <v/>
      </c>
      <c r="R232" s="23" t="n"/>
      <c r="S232" s="25">
        <f>IF(COUNTA($A232:$B232,$E232:$G232,$R232)=0,"",IF($A232="","ID AUSENTE",IF(COUNTIF($A$6:$A$305,$A232)&gt;1,"ID DUPLICADO",IF($B232="","SKU AUSENTE",IF(COUNTIF('Estoque Central'!$A$6:$A$205,$B232)=0,"SKU NÃO CADASTRADO",IF(IFERROR(VLOOKUP($B232,'Estoque Central'!$A$6:$M$205,13,FALSE),"")&lt;&gt;"OK","ESTOQUE CENTRAL COM PENDÊNCIA",IF($E232="","CANAL AUSENTE",IF(COUNTIF('Configurações'!$A$11:$A$20,$E232)=0,"CANAL NÃO CONFIGURADO",IF(IFERROR(VLOOKUP($E232,'Configurações'!$A$11:$F$20,6,FALSE),"")&lt;&gt;"OK","CANAL COM PENDÊNCIA",IF(COUNTIFS($B$6:$B$305,$B232,$E$6:$E$305,$E232)&gt;1,"SKU/CANAL DUPLICADO",IF(IFERROR(OR(NOT(ISNUMBER($F232)),$F232&lt;0,MOD($F232,1)&lt;&gt;0),TRUE),"SALDO PUBLICADO INVÁLIDO",IF(IFERROR(OR(NOT(ISNUMBER($G232)),$G232&lt;0,MOD($G232,1)&lt;&gt;0),TRUE),"PEDIDOS PENDENTES INVÁLIDOS",IF(IFERROR(OR(NOT(ISNUMBER($R232)),$R232&gt;'Configurações'!$B$5),TRUE),"DATA INVÁLIDA","OK")))))))))))))</f>
        <v/>
      </c>
    </row>
    <row r="233">
      <c r="A233" s="21" t="n"/>
      <c r="B233" s="21" t="n"/>
      <c r="C233" s="27">
        <f>IFERROR(VLOOKUP($B233,'Estoque Central'!$A$6:$M$205,2,FALSE),"")</f>
        <v/>
      </c>
      <c r="D233" s="25">
        <f>IFERROR(VLOOKUP($B233,'Estoque Central'!$A$6:$M$205,3,FALSE),"")</f>
        <v/>
      </c>
      <c r="E233" s="21" t="n"/>
      <c r="F233" s="22" t="n"/>
      <c r="G233" s="22" t="n"/>
      <c r="H233" s="25">
        <f>IFERROR(VLOOKUP($E233,'Configurações'!$A$11:$F$20,2,FALSE),"")</f>
        <v/>
      </c>
      <c r="I233" s="28">
        <f>IFERROR(VLOOKUP($E233,'Configurações'!$A$11:$F$20,3,FALSE),"")</f>
        <v/>
      </c>
      <c r="J233" s="24">
        <f>IFERROR(VLOOKUP($E233,'Configurações'!$A$11:$F$20,4,FALSE),"")</f>
        <v/>
      </c>
      <c r="K233" s="24">
        <f>IFERROR(VLOOKUP($E233,'Configurações'!$A$11:$F$20,5,FALSE),"")</f>
        <v/>
      </c>
      <c r="L233" s="24">
        <f>IFERROR(VLOOKUP($B233,'Estoque Central'!$A$6:$M$205,9,FALSE),"")</f>
        <v/>
      </c>
      <c r="M233" s="24">
        <f>IF(COUNTA($A233:$B233,$E233:$G233,$R233)=0,"",IFERROR(IF(OR($C233="",$H233=""),"",IF(OR($D233&lt;&gt;"Ativo",$H233&lt;&gt;"Sim"),0,MIN(IF($J233="",$L233,$J233),ROUNDDOWN($L233*$I233,0)))),""))</f>
        <v/>
      </c>
      <c r="N233" s="24">
        <f>IF(OR($M233="",NOT(ISNUMBER($F233))),"",$M233-$F233)</f>
        <v/>
      </c>
      <c r="O233" s="25">
        <f>IF(COUNTA($A233:$B233,$E233:$G233,$R233)=0,"",IF($S233&lt;&gt;"OK","REVISAR CADASTRO",IF($N233&gt;0,"AUMENTAR",IF($N233&lt;0,"REDUZIR","SEM AÇÃO"))))</f>
        <v/>
      </c>
      <c r="P233" s="25">
        <f>IF(COUNTA($A233:$B233,$E233:$G233,$R233)=0,"",IF($S233&lt;&gt;"OK","REVISAR",IF(OR($D233&lt;&gt;"Ativo",$H233&lt;&gt;"Sim"),IF($F233&gt;0,"ALTO","SEM EXPOSIÇÃO"),IF(OR($F233&gt;$M233,SUMIFS($F$6:$F$305,$B$6:$B$305,$B233,$S$6:$S$305,"OK")&gt;$L233),"ALTO",IF(AND($F233&gt;0,$L233&lt;=$K233),"MÉDIO","BAIXO")))))</f>
        <v/>
      </c>
      <c r="Q233" s="25">
        <f>IF(COUNTA($A233:$B233,$E233:$G233,$R233)=0,"",IF($S233&lt;&gt;"OK","REVISAR",IF($O233="SEM AÇÃO","BAIXA",IF(OR($P233="ALTO",ABS($N233)&gt;='Configurações'!$B$3),"URGENTE",IF(OR($P233="MÉDIO",'Configurações'!$B$5-$R233&gt;'Configurações'!$B$4),"ALTA","NORMAL")))))</f>
        <v/>
      </c>
      <c r="R233" s="23" t="n"/>
      <c r="S233" s="25">
        <f>IF(COUNTA($A233:$B233,$E233:$G233,$R233)=0,"",IF($A233="","ID AUSENTE",IF(COUNTIF($A$6:$A$305,$A233)&gt;1,"ID DUPLICADO",IF($B233="","SKU AUSENTE",IF(COUNTIF('Estoque Central'!$A$6:$A$205,$B233)=0,"SKU NÃO CADASTRADO",IF(IFERROR(VLOOKUP($B233,'Estoque Central'!$A$6:$M$205,13,FALSE),"")&lt;&gt;"OK","ESTOQUE CENTRAL COM PENDÊNCIA",IF($E233="","CANAL AUSENTE",IF(COUNTIF('Configurações'!$A$11:$A$20,$E233)=0,"CANAL NÃO CONFIGURADO",IF(IFERROR(VLOOKUP($E233,'Configurações'!$A$11:$F$20,6,FALSE),"")&lt;&gt;"OK","CANAL COM PENDÊNCIA",IF(COUNTIFS($B$6:$B$305,$B233,$E$6:$E$305,$E233)&gt;1,"SKU/CANAL DUPLICADO",IF(IFERROR(OR(NOT(ISNUMBER($F233)),$F233&lt;0,MOD($F233,1)&lt;&gt;0),TRUE),"SALDO PUBLICADO INVÁLIDO",IF(IFERROR(OR(NOT(ISNUMBER($G233)),$G233&lt;0,MOD($G233,1)&lt;&gt;0),TRUE),"PEDIDOS PENDENTES INVÁLIDOS",IF(IFERROR(OR(NOT(ISNUMBER($R233)),$R233&gt;'Configurações'!$B$5),TRUE),"DATA INVÁLIDA","OK")))))))))))))</f>
        <v/>
      </c>
    </row>
    <row r="234">
      <c r="A234" s="21" t="n"/>
      <c r="B234" s="21" t="n"/>
      <c r="C234" s="27">
        <f>IFERROR(VLOOKUP($B234,'Estoque Central'!$A$6:$M$205,2,FALSE),"")</f>
        <v/>
      </c>
      <c r="D234" s="25">
        <f>IFERROR(VLOOKUP($B234,'Estoque Central'!$A$6:$M$205,3,FALSE),"")</f>
        <v/>
      </c>
      <c r="E234" s="21" t="n"/>
      <c r="F234" s="22" t="n"/>
      <c r="G234" s="22" t="n"/>
      <c r="H234" s="25">
        <f>IFERROR(VLOOKUP($E234,'Configurações'!$A$11:$F$20,2,FALSE),"")</f>
        <v/>
      </c>
      <c r="I234" s="28">
        <f>IFERROR(VLOOKUP($E234,'Configurações'!$A$11:$F$20,3,FALSE),"")</f>
        <v/>
      </c>
      <c r="J234" s="24">
        <f>IFERROR(VLOOKUP($E234,'Configurações'!$A$11:$F$20,4,FALSE),"")</f>
        <v/>
      </c>
      <c r="K234" s="24">
        <f>IFERROR(VLOOKUP($E234,'Configurações'!$A$11:$F$20,5,FALSE),"")</f>
        <v/>
      </c>
      <c r="L234" s="24">
        <f>IFERROR(VLOOKUP($B234,'Estoque Central'!$A$6:$M$205,9,FALSE),"")</f>
        <v/>
      </c>
      <c r="M234" s="24">
        <f>IF(COUNTA($A234:$B234,$E234:$G234,$R234)=0,"",IFERROR(IF(OR($C234="",$H234=""),"",IF(OR($D234&lt;&gt;"Ativo",$H234&lt;&gt;"Sim"),0,MIN(IF($J234="",$L234,$J234),ROUNDDOWN($L234*$I234,0)))),""))</f>
        <v/>
      </c>
      <c r="N234" s="24">
        <f>IF(OR($M234="",NOT(ISNUMBER($F234))),"",$M234-$F234)</f>
        <v/>
      </c>
      <c r="O234" s="25">
        <f>IF(COUNTA($A234:$B234,$E234:$G234,$R234)=0,"",IF($S234&lt;&gt;"OK","REVISAR CADASTRO",IF($N234&gt;0,"AUMENTAR",IF($N234&lt;0,"REDUZIR","SEM AÇÃO"))))</f>
        <v/>
      </c>
      <c r="P234" s="25">
        <f>IF(COUNTA($A234:$B234,$E234:$G234,$R234)=0,"",IF($S234&lt;&gt;"OK","REVISAR",IF(OR($D234&lt;&gt;"Ativo",$H234&lt;&gt;"Sim"),IF($F234&gt;0,"ALTO","SEM EXPOSIÇÃO"),IF(OR($F234&gt;$M234,SUMIFS($F$6:$F$305,$B$6:$B$305,$B234,$S$6:$S$305,"OK")&gt;$L234),"ALTO",IF(AND($F234&gt;0,$L234&lt;=$K234),"MÉDIO","BAIXO")))))</f>
        <v/>
      </c>
      <c r="Q234" s="25">
        <f>IF(COUNTA($A234:$B234,$E234:$G234,$R234)=0,"",IF($S234&lt;&gt;"OK","REVISAR",IF($O234="SEM AÇÃO","BAIXA",IF(OR($P234="ALTO",ABS($N234)&gt;='Configurações'!$B$3),"URGENTE",IF(OR($P234="MÉDIO",'Configurações'!$B$5-$R234&gt;'Configurações'!$B$4),"ALTA","NORMAL")))))</f>
        <v/>
      </c>
      <c r="R234" s="23" t="n"/>
      <c r="S234" s="25">
        <f>IF(COUNTA($A234:$B234,$E234:$G234,$R234)=0,"",IF($A234="","ID AUSENTE",IF(COUNTIF($A$6:$A$305,$A234)&gt;1,"ID DUPLICADO",IF($B234="","SKU AUSENTE",IF(COUNTIF('Estoque Central'!$A$6:$A$205,$B234)=0,"SKU NÃO CADASTRADO",IF(IFERROR(VLOOKUP($B234,'Estoque Central'!$A$6:$M$205,13,FALSE),"")&lt;&gt;"OK","ESTOQUE CENTRAL COM PENDÊNCIA",IF($E234="","CANAL AUSENTE",IF(COUNTIF('Configurações'!$A$11:$A$20,$E234)=0,"CANAL NÃO CONFIGURADO",IF(IFERROR(VLOOKUP($E234,'Configurações'!$A$11:$F$20,6,FALSE),"")&lt;&gt;"OK","CANAL COM PENDÊNCIA",IF(COUNTIFS($B$6:$B$305,$B234,$E$6:$E$305,$E234)&gt;1,"SKU/CANAL DUPLICADO",IF(IFERROR(OR(NOT(ISNUMBER($F234)),$F234&lt;0,MOD($F234,1)&lt;&gt;0),TRUE),"SALDO PUBLICADO INVÁLIDO",IF(IFERROR(OR(NOT(ISNUMBER($G234)),$G234&lt;0,MOD($G234,1)&lt;&gt;0),TRUE),"PEDIDOS PENDENTES INVÁLIDOS",IF(IFERROR(OR(NOT(ISNUMBER($R234)),$R234&gt;'Configurações'!$B$5),TRUE),"DATA INVÁLIDA","OK")))))))))))))</f>
        <v/>
      </c>
    </row>
    <row r="235">
      <c r="A235" s="21" t="n"/>
      <c r="B235" s="21" t="n"/>
      <c r="C235" s="27">
        <f>IFERROR(VLOOKUP($B235,'Estoque Central'!$A$6:$M$205,2,FALSE),"")</f>
        <v/>
      </c>
      <c r="D235" s="25">
        <f>IFERROR(VLOOKUP($B235,'Estoque Central'!$A$6:$M$205,3,FALSE),"")</f>
        <v/>
      </c>
      <c r="E235" s="21" t="n"/>
      <c r="F235" s="22" t="n"/>
      <c r="G235" s="22" t="n"/>
      <c r="H235" s="25">
        <f>IFERROR(VLOOKUP($E235,'Configurações'!$A$11:$F$20,2,FALSE),"")</f>
        <v/>
      </c>
      <c r="I235" s="28">
        <f>IFERROR(VLOOKUP($E235,'Configurações'!$A$11:$F$20,3,FALSE),"")</f>
        <v/>
      </c>
      <c r="J235" s="24">
        <f>IFERROR(VLOOKUP($E235,'Configurações'!$A$11:$F$20,4,FALSE),"")</f>
        <v/>
      </c>
      <c r="K235" s="24">
        <f>IFERROR(VLOOKUP($E235,'Configurações'!$A$11:$F$20,5,FALSE),"")</f>
        <v/>
      </c>
      <c r="L235" s="24">
        <f>IFERROR(VLOOKUP($B235,'Estoque Central'!$A$6:$M$205,9,FALSE),"")</f>
        <v/>
      </c>
      <c r="M235" s="24">
        <f>IF(COUNTA($A235:$B235,$E235:$G235,$R235)=0,"",IFERROR(IF(OR($C235="",$H235=""),"",IF(OR($D235&lt;&gt;"Ativo",$H235&lt;&gt;"Sim"),0,MIN(IF($J235="",$L235,$J235),ROUNDDOWN($L235*$I235,0)))),""))</f>
        <v/>
      </c>
      <c r="N235" s="24">
        <f>IF(OR($M235="",NOT(ISNUMBER($F235))),"",$M235-$F235)</f>
        <v/>
      </c>
      <c r="O235" s="25">
        <f>IF(COUNTA($A235:$B235,$E235:$G235,$R235)=0,"",IF($S235&lt;&gt;"OK","REVISAR CADASTRO",IF($N235&gt;0,"AUMENTAR",IF($N235&lt;0,"REDUZIR","SEM AÇÃO"))))</f>
        <v/>
      </c>
      <c r="P235" s="25">
        <f>IF(COUNTA($A235:$B235,$E235:$G235,$R235)=0,"",IF($S235&lt;&gt;"OK","REVISAR",IF(OR($D235&lt;&gt;"Ativo",$H235&lt;&gt;"Sim"),IF($F235&gt;0,"ALTO","SEM EXPOSIÇÃO"),IF(OR($F235&gt;$M235,SUMIFS($F$6:$F$305,$B$6:$B$305,$B235,$S$6:$S$305,"OK")&gt;$L235),"ALTO",IF(AND($F235&gt;0,$L235&lt;=$K235),"MÉDIO","BAIXO")))))</f>
        <v/>
      </c>
      <c r="Q235" s="25">
        <f>IF(COUNTA($A235:$B235,$E235:$G235,$R235)=0,"",IF($S235&lt;&gt;"OK","REVISAR",IF($O235="SEM AÇÃO","BAIXA",IF(OR($P235="ALTO",ABS($N235)&gt;='Configurações'!$B$3),"URGENTE",IF(OR($P235="MÉDIO",'Configurações'!$B$5-$R235&gt;'Configurações'!$B$4),"ALTA","NORMAL")))))</f>
        <v/>
      </c>
      <c r="R235" s="23" t="n"/>
      <c r="S235" s="25">
        <f>IF(COUNTA($A235:$B235,$E235:$G235,$R235)=0,"",IF($A235="","ID AUSENTE",IF(COUNTIF($A$6:$A$305,$A235)&gt;1,"ID DUPLICADO",IF($B235="","SKU AUSENTE",IF(COUNTIF('Estoque Central'!$A$6:$A$205,$B235)=0,"SKU NÃO CADASTRADO",IF(IFERROR(VLOOKUP($B235,'Estoque Central'!$A$6:$M$205,13,FALSE),"")&lt;&gt;"OK","ESTOQUE CENTRAL COM PENDÊNCIA",IF($E235="","CANAL AUSENTE",IF(COUNTIF('Configurações'!$A$11:$A$20,$E235)=0,"CANAL NÃO CONFIGURADO",IF(IFERROR(VLOOKUP($E235,'Configurações'!$A$11:$F$20,6,FALSE),"")&lt;&gt;"OK","CANAL COM PENDÊNCIA",IF(COUNTIFS($B$6:$B$305,$B235,$E$6:$E$305,$E235)&gt;1,"SKU/CANAL DUPLICADO",IF(IFERROR(OR(NOT(ISNUMBER($F235)),$F235&lt;0,MOD($F235,1)&lt;&gt;0),TRUE),"SALDO PUBLICADO INVÁLIDO",IF(IFERROR(OR(NOT(ISNUMBER($G235)),$G235&lt;0,MOD($G235,1)&lt;&gt;0),TRUE),"PEDIDOS PENDENTES INVÁLIDOS",IF(IFERROR(OR(NOT(ISNUMBER($R235)),$R235&gt;'Configurações'!$B$5),TRUE),"DATA INVÁLIDA","OK")))))))))))))</f>
        <v/>
      </c>
    </row>
    <row r="236">
      <c r="A236" s="21" t="n"/>
      <c r="B236" s="21" t="n"/>
      <c r="C236" s="27">
        <f>IFERROR(VLOOKUP($B236,'Estoque Central'!$A$6:$M$205,2,FALSE),"")</f>
        <v/>
      </c>
      <c r="D236" s="25">
        <f>IFERROR(VLOOKUP($B236,'Estoque Central'!$A$6:$M$205,3,FALSE),"")</f>
        <v/>
      </c>
      <c r="E236" s="21" t="n"/>
      <c r="F236" s="22" t="n"/>
      <c r="G236" s="22" t="n"/>
      <c r="H236" s="25">
        <f>IFERROR(VLOOKUP($E236,'Configurações'!$A$11:$F$20,2,FALSE),"")</f>
        <v/>
      </c>
      <c r="I236" s="28">
        <f>IFERROR(VLOOKUP($E236,'Configurações'!$A$11:$F$20,3,FALSE),"")</f>
        <v/>
      </c>
      <c r="J236" s="24">
        <f>IFERROR(VLOOKUP($E236,'Configurações'!$A$11:$F$20,4,FALSE),"")</f>
        <v/>
      </c>
      <c r="K236" s="24">
        <f>IFERROR(VLOOKUP($E236,'Configurações'!$A$11:$F$20,5,FALSE),"")</f>
        <v/>
      </c>
      <c r="L236" s="24">
        <f>IFERROR(VLOOKUP($B236,'Estoque Central'!$A$6:$M$205,9,FALSE),"")</f>
        <v/>
      </c>
      <c r="M236" s="24">
        <f>IF(COUNTA($A236:$B236,$E236:$G236,$R236)=0,"",IFERROR(IF(OR($C236="",$H236=""),"",IF(OR($D236&lt;&gt;"Ativo",$H236&lt;&gt;"Sim"),0,MIN(IF($J236="",$L236,$J236),ROUNDDOWN($L236*$I236,0)))),""))</f>
        <v/>
      </c>
      <c r="N236" s="24">
        <f>IF(OR($M236="",NOT(ISNUMBER($F236))),"",$M236-$F236)</f>
        <v/>
      </c>
      <c r="O236" s="25">
        <f>IF(COUNTA($A236:$B236,$E236:$G236,$R236)=0,"",IF($S236&lt;&gt;"OK","REVISAR CADASTRO",IF($N236&gt;0,"AUMENTAR",IF($N236&lt;0,"REDUZIR","SEM AÇÃO"))))</f>
        <v/>
      </c>
      <c r="P236" s="25">
        <f>IF(COUNTA($A236:$B236,$E236:$G236,$R236)=0,"",IF($S236&lt;&gt;"OK","REVISAR",IF(OR($D236&lt;&gt;"Ativo",$H236&lt;&gt;"Sim"),IF($F236&gt;0,"ALTO","SEM EXPOSIÇÃO"),IF(OR($F236&gt;$M236,SUMIFS($F$6:$F$305,$B$6:$B$305,$B236,$S$6:$S$305,"OK")&gt;$L236),"ALTO",IF(AND($F236&gt;0,$L236&lt;=$K236),"MÉDIO","BAIXO")))))</f>
        <v/>
      </c>
      <c r="Q236" s="25">
        <f>IF(COUNTA($A236:$B236,$E236:$G236,$R236)=0,"",IF($S236&lt;&gt;"OK","REVISAR",IF($O236="SEM AÇÃO","BAIXA",IF(OR($P236="ALTO",ABS($N236)&gt;='Configurações'!$B$3),"URGENTE",IF(OR($P236="MÉDIO",'Configurações'!$B$5-$R236&gt;'Configurações'!$B$4),"ALTA","NORMAL")))))</f>
        <v/>
      </c>
      <c r="R236" s="23" t="n"/>
      <c r="S236" s="25">
        <f>IF(COUNTA($A236:$B236,$E236:$G236,$R236)=0,"",IF($A236="","ID AUSENTE",IF(COUNTIF($A$6:$A$305,$A236)&gt;1,"ID DUPLICADO",IF($B236="","SKU AUSENTE",IF(COUNTIF('Estoque Central'!$A$6:$A$205,$B236)=0,"SKU NÃO CADASTRADO",IF(IFERROR(VLOOKUP($B236,'Estoque Central'!$A$6:$M$205,13,FALSE),"")&lt;&gt;"OK","ESTOQUE CENTRAL COM PENDÊNCIA",IF($E236="","CANAL AUSENTE",IF(COUNTIF('Configurações'!$A$11:$A$20,$E236)=0,"CANAL NÃO CONFIGURADO",IF(IFERROR(VLOOKUP($E236,'Configurações'!$A$11:$F$20,6,FALSE),"")&lt;&gt;"OK","CANAL COM PENDÊNCIA",IF(COUNTIFS($B$6:$B$305,$B236,$E$6:$E$305,$E236)&gt;1,"SKU/CANAL DUPLICADO",IF(IFERROR(OR(NOT(ISNUMBER($F236)),$F236&lt;0,MOD($F236,1)&lt;&gt;0),TRUE),"SALDO PUBLICADO INVÁLIDO",IF(IFERROR(OR(NOT(ISNUMBER($G236)),$G236&lt;0,MOD($G236,1)&lt;&gt;0),TRUE),"PEDIDOS PENDENTES INVÁLIDOS",IF(IFERROR(OR(NOT(ISNUMBER($R236)),$R236&gt;'Configurações'!$B$5),TRUE),"DATA INVÁLIDA","OK")))))))))))))</f>
        <v/>
      </c>
    </row>
    <row r="237">
      <c r="A237" s="21" t="n"/>
      <c r="B237" s="21" t="n"/>
      <c r="C237" s="27">
        <f>IFERROR(VLOOKUP($B237,'Estoque Central'!$A$6:$M$205,2,FALSE),"")</f>
        <v/>
      </c>
      <c r="D237" s="25">
        <f>IFERROR(VLOOKUP($B237,'Estoque Central'!$A$6:$M$205,3,FALSE),"")</f>
        <v/>
      </c>
      <c r="E237" s="21" t="n"/>
      <c r="F237" s="22" t="n"/>
      <c r="G237" s="22" t="n"/>
      <c r="H237" s="25">
        <f>IFERROR(VLOOKUP($E237,'Configurações'!$A$11:$F$20,2,FALSE),"")</f>
        <v/>
      </c>
      <c r="I237" s="28">
        <f>IFERROR(VLOOKUP($E237,'Configurações'!$A$11:$F$20,3,FALSE),"")</f>
        <v/>
      </c>
      <c r="J237" s="24">
        <f>IFERROR(VLOOKUP($E237,'Configurações'!$A$11:$F$20,4,FALSE),"")</f>
        <v/>
      </c>
      <c r="K237" s="24">
        <f>IFERROR(VLOOKUP($E237,'Configurações'!$A$11:$F$20,5,FALSE),"")</f>
        <v/>
      </c>
      <c r="L237" s="24">
        <f>IFERROR(VLOOKUP($B237,'Estoque Central'!$A$6:$M$205,9,FALSE),"")</f>
        <v/>
      </c>
      <c r="M237" s="24">
        <f>IF(COUNTA($A237:$B237,$E237:$G237,$R237)=0,"",IFERROR(IF(OR($C237="",$H237=""),"",IF(OR($D237&lt;&gt;"Ativo",$H237&lt;&gt;"Sim"),0,MIN(IF($J237="",$L237,$J237),ROUNDDOWN($L237*$I237,0)))),""))</f>
        <v/>
      </c>
      <c r="N237" s="24">
        <f>IF(OR($M237="",NOT(ISNUMBER($F237))),"",$M237-$F237)</f>
        <v/>
      </c>
      <c r="O237" s="25">
        <f>IF(COUNTA($A237:$B237,$E237:$G237,$R237)=0,"",IF($S237&lt;&gt;"OK","REVISAR CADASTRO",IF($N237&gt;0,"AUMENTAR",IF($N237&lt;0,"REDUZIR","SEM AÇÃO"))))</f>
        <v/>
      </c>
      <c r="P237" s="25">
        <f>IF(COUNTA($A237:$B237,$E237:$G237,$R237)=0,"",IF($S237&lt;&gt;"OK","REVISAR",IF(OR($D237&lt;&gt;"Ativo",$H237&lt;&gt;"Sim"),IF($F237&gt;0,"ALTO","SEM EXPOSIÇÃO"),IF(OR($F237&gt;$M237,SUMIFS($F$6:$F$305,$B$6:$B$305,$B237,$S$6:$S$305,"OK")&gt;$L237),"ALTO",IF(AND($F237&gt;0,$L237&lt;=$K237),"MÉDIO","BAIXO")))))</f>
        <v/>
      </c>
      <c r="Q237" s="25">
        <f>IF(COUNTA($A237:$B237,$E237:$G237,$R237)=0,"",IF($S237&lt;&gt;"OK","REVISAR",IF($O237="SEM AÇÃO","BAIXA",IF(OR($P237="ALTO",ABS($N237)&gt;='Configurações'!$B$3),"URGENTE",IF(OR($P237="MÉDIO",'Configurações'!$B$5-$R237&gt;'Configurações'!$B$4),"ALTA","NORMAL")))))</f>
        <v/>
      </c>
      <c r="R237" s="23" t="n"/>
      <c r="S237" s="25">
        <f>IF(COUNTA($A237:$B237,$E237:$G237,$R237)=0,"",IF($A237="","ID AUSENTE",IF(COUNTIF($A$6:$A$305,$A237)&gt;1,"ID DUPLICADO",IF($B237="","SKU AUSENTE",IF(COUNTIF('Estoque Central'!$A$6:$A$205,$B237)=0,"SKU NÃO CADASTRADO",IF(IFERROR(VLOOKUP($B237,'Estoque Central'!$A$6:$M$205,13,FALSE),"")&lt;&gt;"OK","ESTOQUE CENTRAL COM PENDÊNCIA",IF($E237="","CANAL AUSENTE",IF(COUNTIF('Configurações'!$A$11:$A$20,$E237)=0,"CANAL NÃO CONFIGURADO",IF(IFERROR(VLOOKUP($E237,'Configurações'!$A$11:$F$20,6,FALSE),"")&lt;&gt;"OK","CANAL COM PENDÊNCIA",IF(COUNTIFS($B$6:$B$305,$B237,$E$6:$E$305,$E237)&gt;1,"SKU/CANAL DUPLICADO",IF(IFERROR(OR(NOT(ISNUMBER($F237)),$F237&lt;0,MOD($F237,1)&lt;&gt;0),TRUE),"SALDO PUBLICADO INVÁLIDO",IF(IFERROR(OR(NOT(ISNUMBER($G237)),$G237&lt;0,MOD($G237,1)&lt;&gt;0),TRUE),"PEDIDOS PENDENTES INVÁLIDOS",IF(IFERROR(OR(NOT(ISNUMBER($R237)),$R237&gt;'Configurações'!$B$5),TRUE),"DATA INVÁLIDA","OK")))))))))))))</f>
        <v/>
      </c>
    </row>
    <row r="238">
      <c r="A238" s="21" t="n"/>
      <c r="B238" s="21" t="n"/>
      <c r="C238" s="27">
        <f>IFERROR(VLOOKUP($B238,'Estoque Central'!$A$6:$M$205,2,FALSE),"")</f>
        <v/>
      </c>
      <c r="D238" s="25">
        <f>IFERROR(VLOOKUP($B238,'Estoque Central'!$A$6:$M$205,3,FALSE),"")</f>
        <v/>
      </c>
      <c r="E238" s="21" t="n"/>
      <c r="F238" s="22" t="n"/>
      <c r="G238" s="22" t="n"/>
      <c r="H238" s="25">
        <f>IFERROR(VLOOKUP($E238,'Configurações'!$A$11:$F$20,2,FALSE),"")</f>
        <v/>
      </c>
      <c r="I238" s="28">
        <f>IFERROR(VLOOKUP($E238,'Configurações'!$A$11:$F$20,3,FALSE),"")</f>
        <v/>
      </c>
      <c r="J238" s="24">
        <f>IFERROR(VLOOKUP($E238,'Configurações'!$A$11:$F$20,4,FALSE),"")</f>
        <v/>
      </c>
      <c r="K238" s="24">
        <f>IFERROR(VLOOKUP($E238,'Configurações'!$A$11:$F$20,5,FALSE),"")</f>
        <v/>
      </c>
      <c r="L238" s="24">
        <f>IFERROR(VLOOKUP($B238,'Estoque Central'!$A$6:$M$205,9,FALSE),"")</f>
        <v/>
      </c>
      <c r="M238" s="24">
        <f>IF(COUNTA($A238:$B238,$E238:$G238,$R238)=0,"",IFERROR(IF(OR($C238="",$H238=""),"",IF(OR($D238&lt;&gt;"Ativo",$H238&lt;&gt;"Sim"),0,MIN(IF($J238="",$L238,$J238),ROUNDDOWN($L238*$I238,0)))),""))</f>
        <v/>
      </c>
      <c r="N238" s="24">
        <f>IF(OR($M238="",NOT(ISNUMBER($F238))),"",$M238-$F238)</f>
        <v/>
      </c>
      <c r="O238" s="25">
        <f>IF(COUNTA($A238:$B238,$E238:$G238,$R238)=0,"",IF($S238&lt;&gt;"OK","REVISAR CADASTRO",IF($N238&gt;0,"AUMENTAR",IF($N238&lt;0,"REDUZIR","SEM AÇÃO"))))</f>
        <v/>
      </c>
      <c r="P238" s="25">
        <f>IF(COUNTA($A238:$B238,$E238:$G238,$R238)=0,"",IF($S238&lt;&gt;"OK","REVISAR",IF(OR($D238&lt;&gt;"Ativo",$H238&lt;&gt;"Sim"),IF($F238&gt;0,"ALTO","SEM EXPOSIÇÃO"),IF(OR($F238&gt;$M238,SUMIFS($F$6:$F$305,$B$6:$B$305,$B238,$S$6:$S$305,"OK")&gt;$L238),"ALTO",IF(AND($F238&gt;0,$L238&lt;=$K238),"MÉDIO","BAIXO")))))</f>
        <v/>
      </c>
      <c r="Q238" s="25">
        <f>IF(COUNTA($A238:$B238,$E238:$G238,$R238)=0,"",IF($S238&lt;&gt;"OK","REVISAR",IF($O238="SEM AÇÃO","BAIXA",IF(OR($P238="ALTO",ABS($N238)&gt;='Configurações'!$B$3),"URGENTE",IF(OR($P238="MÉDIO",'Configurações'!$B$5-$R238&gt;'Configurações'!$B$4),"ALTA","NORMAL")))))</f>
        <v/>
      </c>
      <c r="R238" s="23" t="n"/>
      <c r="S238" s="25">
        <f>IF(COUNTA($A238:$B238,$E238:$G238,$R238)=0,"",IF($A238="","ID AUSENTE",IF(COUNTIF($A$6:$A$305,$A238)&gt;1,"ID DUPLICADO",IF($B238="","SKU AUSENTE",IF(COUNTIF('Estoque Central'!$A$6:$A$205,$B238)=0,"SKU NÃO CADASTRADO",IF(IFERROR(VLOOKUP($B238,'Estoque Central'!$A$6:$M$205,13,FALSE),"")&lt;&gt;"OK","ESTOQUE CENTRAL COM PENDÊNCIA",IF($E238="","CANAL AUSENTE",IF(COUNTIF('Configurações'!$A$11:$A$20,$E238)=0,"CANAL NÃO CONFIGURADO",IF(IFERROR(VLOOKUP($E238,'Configurações'!$A$11:$F$20,6,FALSE),"")&lt;&gt;"OK","CANAL COM PENDÊNCIA",IF(COUNTIFS($B$6:$B$305,$B238,$E$6:$E$305,$E238)&gt;1,"SKU/CANAL DUPLICADO",IF(IFERROR(OR(NOT(ISNUMBER($F238)),$F238&lt;0,MOD($F238,1)&lt;&gt;0),TRUE),"SALDO PUBLICADO INVÁLIDO",IF(IFERROR(OR(NOT(ISNUMBER($G238)),$G238&lt;0,MOD($G238,1)&lt;&gt;0),TRUE),"PEDIDOS PENDENTES INVÁLIDOS",IF(IFERROR(OR(NOT(ISNUMBER($R238)),$R238&gt;'Configurações'!$B$5),TRUE),"DATA INVÁLIDA","OK")))))))))))))</f>
        <v/>
      </c>
    </row>
    <row r="239">
      <c r="A239" s="21" t="n"/>
      <c r="B239" s="21" t="n"/>
      <c r="C239" s="27">
        <f>IFERROR(VLOOKUP($B239,'Estoque Central'!$A$6:$M$205,2,FALSE),"")</f>
        <v/>
      </c>
      <c r="D239" s="25">
        <f>IFERROR(VLOOKUP($B239,'Estoque Central'!$A$6:$M$205,3,FALSE),"")</f>
        <v/>
      </c>
      <c r="E239" s="21" t="n"/>
      <c r="F239" s="22" t="n"/>
      <c r="G239" s="22" t="n"/>
      <c r="H239" s="25">
        <f>IFERROR(VLOOKUP($E239,'Configurações'!$A$11:$F$20,2,FALSE),"")</f>
        <v/>
      </c>
      <c r="I239" s="28">
        <f>IFERROR(VLOOKUP($E239,'Configurações'!$A$11:$F$20,3,FALSE),"")</f>
        <v/>
      </c>
      <c r="J239" s="24">
        <f>IFERROR(VLOOKUP($E239,'Configurações'!$A$11:$F$20,4,FALSE),"")</f>
        <v/>
      </c>
      <c r="K239" s="24">
        <f>IFERROR(VLOOKUP($E239,'Configurações'!$A$11:$F$20,5,FALSE),"")</f>
        <v/>
      </c>
      <c r="L239" s="24">
        <f>IFERROR(VLOOKUP($B239,'Estoque Central'!$A$6:$M$205,9,FALSE),"")</f>
        <v/>
      </c>
      <c r="M239" s="24">
        <f>IF(COUNTA($A239:$B239,$E239:$G239,$R239)=0,"",IFERROR(IF(OR($C239="",$H239=""),"",IF(OR($D239&lt;&gt;"Ativo",$H239&lt;&gt;"Sim"),0,MIN(IF($J239="",$L239,$J239),ROUNDDOWN($L239*$I239,0)))),""))</f>
        <v/>
      </c>
      <c r="N239" s="24">
        <f>IF(OR($M239="",NOT(ISNUMBER($F239))),"",$M239-$F239)</f>
        <v/>
      </c>
      <c r="O239" s="25">
        <f>IF(COUNTA($A239:$B239,$E239:$G239,$R239)=0,"",IF($S239&lt;&gt;"OK","REVISAR CADASTRO",IF($N239&gt;0,"AUMENTAR",IF($N239&lt;0,"REDUZIR","SEM AÇÃO"))))</f>
        <v/>
      </c>
      <c r="P239" s="25">
        <f>IF(COUNTA($A239:$B239,$E239:$G239,$R239)=0,"",IF($S239&lt;&gt;"OK","REVISAR",IF(OR($D239&lt;&gt;"Ativo",$H239&lt;&gt;"Sim"),IF($F239&gt;0,"ALTO","SEM EXPOSIÇÃO"),IF(OR($F239&gt;$M239,SUMIFS($F$6:$F$305,$B$6:$B$305,$B239,$S$6:$S$305,"OK")&gt;$L239),"ALTO",IF(AND($F239&gt;0,$L239&lt;=$K239),"MÉDIO","BAIXO")))))</f>
        <v/>
      </c>
      <c r="Q239" s="25">
        <f>IF(COUNTA($A239:$B239,$E239:$G239,$R239)=0,"",IF($S239&lt;&gt;"OK","REVISAR",IF($O239="SEM AÇÃO","BAIXA",IF(OR($P239="ALTO",ABS($N239)&gt;='Configurações'!$B$3),"URGENTE",IF(OR($P239="MÉDIO",'Configurações'!$B$5-$R239&gt;'Configurações'!$B$4),"ALTA","NORMAL")))))</f>
        <v/>
      </c>
      <c r="R239" s="23" t="n"/>
      <c r="S239" s="25">
        <f>IF(COUNTA($A239:$B239,$E239:$G239,$R239)=0,"",IF($A239="","ID AUSENTE",IF(COUNTIF($A$6:$A$305,$A239)&gt;1,"ID DUPLICADO",IF($B239="","SKU AUSENTE",IF(COUNTIF('Estoque Central'!$A$6:$A$205,$B239)=0,"SKU NÃO CADASTRADO",IF(IFERROR(VLOOKUP($B239,'Estoque Central'!$A$6:$M$205,13,FALSE),"")&lt;&gt;"OK","ESTOQUE CENTRAL COM PENDÊNCIA",IF($E239="","CANAL AUSENTE",IF(COUNTIF('Configurações'!$A$11:$A$20,$E239)=0,"CANAL NÃO CONFIGURADO",IF(IFERROR(VLOOKUP($E239,'Configurações'!$A$11:$F$20,6,FALSE),"")&lt;&gt;"OK","CANAL COM PENDÊNCIA",IF(COUNTIFS($B$6:$B$305,$B239,$E$6:$E$305,$E239)&gt;1,"SKU/CANAL DUPLICADO",IF(IFERROR(OR(NOT(ISNUMBER($F239)),$F239&lt;0,MOD($F239,1)&lt;&gt;0),TRUE),"SALDO PUBLICADO INVÁLIDO",IF(IFERROR(OR(NOT(ISNUMBER($G239)),$G239&lt;0,MOD($G239,1)&lt;&gt;0),TRUE),"PEDIDOS PENDENTES INVÁLIDOS",IF(IFERROR(OR(NOT(ISNUMBER($R239)),$R239&gt;'Configurações'!$B$5),TRUE),"DATA INVÁLIDA","OK")))))))))))))</f>
        <v/>
      </c>
    </row>
    <row r="240">
      <c r="A240" s="21" t="n"/>
      <c r="B240" s="21" t="n"/>
      <c r="C240" s="27">
        <f>IFERROR(VLOOKUP($B240,'Estoque Central'!$A$6:$M$205,2,FALSE),"")</f>
        <v/>
      </c>
      <c r="D240" s="25">
        <f>IFERROR(VLOOKUP($B240,'Estoque Central'!$A$6:$M$205,3,FALSE),"")</f>
        <v/>
      </c>
      <c r="E240" s="21" t="n"/>
      <c r="F240" s="22" t="n"/>
      <c r="G240" s="22" t="n"/>
      <c r="H240" s="25">
        <f>IFERROR(VLOOKUP($E240,'Configurações'!$A$11:$F$20,2,FALSE),"")</f>
        <v/>
      </c>
      <c r="I240" s="28">
        <f>IFERROR(VLOOKUP($E240,'Configurações'!$A$11:$F$20,3,FALSE),"")</f>
        <v/>
      </c>
      <c r="J240" s="24">
        <f>IFERROR(VLOOKUP($E240,'Configurações'!$A$11:$F$20,4,FALSE),"")</f>
        <v/>
      </c>
      <c r="K240" s="24">
        <f>IFERROR(VLOOKUP($E240,'Configurações'!$A$11:$F$20,5,FALSE),"")</f>
        <v/>
      </c>
      <c r="L240" s="24">
        <f>IFERROR(VLOOKUP($B240,'Estoque Central'!$A$6:$M$205,9,FALSE),"")</f>
        <v/>
      </c>
      <c r="M240" s="24">
        <f>IF(COUNTA($A240:$B240,$E240:$G240,$R240)=0,"",IFERROR(IF(OR($C240="",$H240=""),"",IF(OR($D240&lt;&gt;"Ativo",$H240&lt;&gt;"Sim"),0,MIN(IF($J240="",$L240,$J240),ROUNDDOWN($L240*$I240,0)))),""))</f>
        <v/>
      </c>
      <c r="N240" s="24">
        <f>IF(OR($M240="",NOT(ISNUMBER($F240))),"",$M240-$F240)</f>
        <v/>
      </c>
      <c r="O240" s="25">
        <f>IF(COUNTA($A240:$B240,$E240:$G240,$R240)=0,"",IF($S240&lt;&gt;"OK","REVISAR CADASTRO",IF($N240&gt;0,"AUMENTAR",IF($N240&lt;0,"REDUZIR","SEM AÇÃO"))))</f>
        <v/>
      </c>
      <c r="P240" s="25">
        <f>IF(COUNTA($A240:$B240,$E240:$G240,$R240)=0,"",IF($S240&lt;&gt;"OK","REVISAR",IF(OR($D240&lt;&gt;"Ativo",$H240&lt;&gt;"Sim"),IF($F240&gt;0,"ALTO","SEM EXPOSIÇÃO"),IF(OR($F240&gt;$M240,SUMIFS($F$6:$F$305,$B$6:$B$305,$B240,$S$6:$S$305,"OK")&gt;$L240),"ALTO",IF(AND($F240&gt;0,$L240&lt;=$K240),"MÉDIO","BAIXO")))))</f>
        <v/>
      </c>
      <c r="Q240" s="25">
        <f>IF(COUNTA($A240:$B240,$E240:$G240,$R240)=0,"",IF($S240&lt;&gt;"OK","REVISAR",IF($O240="SEM AÇÃO","BAIXA",IF(OR($P240="ALTO",ABS($N240)&gt;='Configurações'!$B$3),"URGENTE",IF(OR($P240="MÉDIO",'Configurações'!$B$5-$R240&gt;'Configurações'!$B$4),"ALTA","NORMAL")))))</f>
        <v/>
      </c>
      <c r="R240" s="23" t="n"/>
      <c r="S240" s="25">
        <f>IF(COUNTA($A240:$B240,$E240:$G240,$R240)=0,"",IF($A240="","ID AUSENTE",IF(COUNTIF($A$6:$A$305,$A240)&gt;1,"ID DUPLICADO",IF($B240="","SKU AUSENTE",IF(COUNTIF('Estoque Central'!$A$6:$A$205,$B240)=0,"SKU NÃO CADASTRADO",IF(IFERROR(VLOOKUP($B240,'Estoque Central'!$A$6:$M$205,13,FALSE),"")&lt;&gt;"OK","ESTOQUE CENTRAL COM PENDÊNCIA",IF($E240="","CANAL AUSENTE",IF(COUNTIF('Configurações'!$A$11:$A$20,$E240)=0,"CANAL NÃO CONFIGURADO",IF(IFERROR(VLOOKUP($E240,'Configurações'!$A$11:$F$20,6,FALSE),"")&lt;&gt;"OK","CANAL COM PENDÊNCIA",IF(COUNTIFS($B$6:$B$305,$B240,$E$6:$E$305,$E240)&gt;1,"SKU/CANAL DUPLICADO",IF(IFERROR(OR(NOT(ISNUMBER($F240)),$F240&lt;0,MOD($F240,1)&lt;&gt;0),TRUE),"SALDO PUBLICADO INVÁLIDO",IF(IFERROR(OR(NOT(ISNUMBER($G240)),$G240&lt;0,MOD($G240,1)&lt;&gt;0),TRUE),"PEDIDOS PENDENTES INVÁLIDOS",IF(IFERROR(OR(NOT(ISNUMBER($R240)),$R240&gt;'Configurações'!$B$5),TRUE),"DATA INVÁLIDA","OK")))))))))))))</f>
        <v/>
      </c>
    </row>
    <row r="241">
      <c r="A241" s="21" t="n"/>
      <c r="B241" s="21" t="n"/>
      <c r="C241" s="27">
        <f>IFERROR(VLOOKUP($B241,'Estoque Central'!$A$6:$M$205,2,FALSE),"")</f>
        <v/>
      </c>
      <c r="D241" s="25">
        <f>IFERROR(VLOOKUP($B241,'Estoque Central'!$A$6:$M$205,3,FALSE),"")</f>
        <v/>
      </c>
      <c r="E241" s="21" t="n"/>
      <c r="F241" s="22" t="n"/>
      <c r="G241" s="22" t="n"/>
      <c r="H241" s="25">
        <f>IFERROR(VLOOKUP($E241,'Configurações'!$A$11:$F$20,2,FALSE),"")</f>
        <v/>
      </c>
      <c r="I241" s="28">
        <f>IFERROR(VLOOKUP($E241,'Configurações'!$A$11:$F$20,3,FALSE),"")</f>
        <v/>
      </c>
      <c r="J241" s="24">
        <f>IFERROR(VLOOKUP($E241,'Configurações'!$A$11:$F$20,4,FALSE),"")</f>
        <v/>
      </c>
      <c r="K241" s="24">
        <f>IFERROR(VLOOKUP($E241,'Configurações'!$A$11:$F$20,5,FALSE),"")</f>
        <v/>
      </c>
      <c r="L241" s="24">
        <f>IFERROR(VLOOKUP($B241,'Estoque Central'!$A$6:$M$205,9,FALSE),"")</f>
        <v/>
      </c>
      <c r="M241" s="24">
        <f>IF(COUNTA($A241:$B241,$E241:$G241,$R241)=0,"",IFERROR(IF(OR($C241="",$H241=""),"",IF(OR($D241&lt;&gt;"Ativo",$H241&lt;&gt;"Sim"),0,MIN(IF($J241="",$L241,$J241),ROUNDDOWN($L241*$I241,0)))),""))</f>
        <v/>
      </c>
      <c r="N241" s="24">
        <f>IF(OR($M241="",NOT(ISNUMBER($F241))),"",$M241-$F241)</f>
        <v/>
      </c>
      <c r="O241" s="25">
        <f>IF(COUNTA($A241:$B241,$E241:$G241,$R241)=0,"",IF($S241&lt;&gt;"OK","REVISAR CADASTRO",IF($N241&gt;0,"AUMENTAR",IF($N241&lt;0,"REDUZIR","SEM AÇÃO"))))</f>
        <v/>
      </c>
      <c r="P241" s="25">
        <f>IF(COUNTA($A241:$B241,$E241:$G241,$R241)=0,"",IF($S241&lt;&gt;"OK","REVISAR",IF(OR($D241&lt;&gt;"Ativo",$H241&lt;&gt;"Sim"),IF($F241&gt;0,"ALTO","SEM EXPOSIÇÃO"),IF(OR($F241&gt;$M241,SUMIFS($F$6:$F$305,$B$6:$B$305,$B241,$S$6:$S$305,"OK")&gt;$L241),"ALTO",IF(AND($F241&gt;0,$L241&lt;=$K241),"MÉDIO","BAIXO")))))</f>
        <v/>
      </c>
      <c r="Q241" s="25">
        <f>IF(COUNTA($A241:$B241,$E241:$G241,$R241)=0,"",IF($S241&lt;&gt;"OK","REVISAR",IF($O241="SEM AÇÃO","BAIXA",IF(OR($P241="ALTO",ABS($N241)&gt;='Configurações'!$B$3),"URGENTE",IF(OR($P241="MÉDIO",'Configurações'!$B$5-$R241&gt;'Configurações'!$B$4),"ALTA","NORMAL")))))</f>
        <v/>
      </c>
      <c r="R241" s="23" t="n"/>
      <c r="S241" s="25">
        <f>IF(COUNTA($A241:$B241,$E241:$G241,$R241)=0,"",IF($A241="","ID AUSENTE",IF(COUNTIF($A$6:$A$305,$A241)&gt;1,"ID DUPLICADO",IF($B241="","SKU AUSENTE",IF(COUNTIF('Estoque Central'!$A$6:$A$205,$B241)=0,"SKU NÃO CADASTRADO",IF(IFERROR(VLOOKUP($B241,'Estoque Central'!$A$6:$M$205,13,FALSE),"")&lt;&gt;"OK","ESTOQUE CENTRAL COM PENDÊNCIA",IF($E241="","CANAL AUSENTE",IF(COUNTIF('Configurações'!$A$11:$A$20,$E241)=0,"CANAL NÃO CONFIGURADO",IF(IFERROR(VLOOKUP($E241,'Configurações'!$A$11:$F$20,6,FALSE),"")&lt;&gt;"OK","CANAL COM PENDÊNCIA",IF(COUNTIFS($B$6:$B$305,$B241,$E$6:$E$305,$E241)&gt;1,"SKU/CANAL DUPLICADO",IF(IFERROR(OR(NOT(ISNUMBER($F241)),$F241&lt;0,MOD($F241,1)&lt;&gt;0),TRUE),"SALDO PUBLICADO INVÁLIDO",IF(IFERROR(OR(NOT(ISNUMBER($G241)),$G241&lt;0,MOD($G241,1)&lt;&gt;0),TRUE),"PEDIDOS PENDENTES INVÁLIDOS",IF(IFERROR(OR(NOT(ISNUMBER($R241)),$R241&gt;'Configurações'!$B$5),TRUE),"DATA INVÁLIDA","OK")))))))))))))</f>
        <v/>
      </c>
    </row>
    <row r="242">
      <c r="A242" s="21" t="n"/>
      <c r="B242" s="21" t="n"/>
      <c r="C242" s="27">
        <f>IFERROR(VLOOKUP($B242,'Estoque Central'!$A$6:$M$205,2,FALSE),"")</f>
        <v/>
      </c>
      <c r="D242" s="25">
        <f>IFERROR(VLOOKUP($B242,'Estoque Central'!$A$6:$M$205,3,FALSE),"")</f>
        <v/>
      </c>
      <c r="E242" s="21" t="n"/>
      <c r="F242" s="22" t="n"/>
      <c r="G242" s="22" t="n"/>
      <c r="H242" s="25">
        <f>IFERROR(VLOOKUP($E242,'Configurações'!$A$11:$F$20,2,FALSE),"")</f>
        <v/>
      </c>
      <c r="I242" s="28">
        <f>IFERROR(VLOOKUP($E242,'Configurações'!$A$11:$F$20,3,FALSE),"")</f>
        <v/>
      </c>
      <c r="J242" s="24">
        <f>IFERROR(VLOOKUP($E242,'Configurações'!$A$11:$F$20,4,FALSE),"")</f>
        <v/>
      </c>
      <c r="K242" s="24">
        <f>IFERROR(VLOOKUP($E242,'Configurações'!$A$11:$F$20,5,FALSE),"")</f>
        <v/>
      </c>
      <c r="L242" s="24">
        <f>IFERROR(VLOOKUP($B242,'Estoque Central'!$A$6:$M$205,9,FALSE),"")</f>
        <v/>
      </c>
      <c r="M242" s="24">
        <f>IF(COUNTA($A242:$B242,$E242:$G242,$R242)=0,"",IFERROR(IF(OR($C242="",$H242=""),"",IF(OR($D242&lt;&gt;"Ativo",$H242&lt;&gt;"Sim"),0,MIN(IF($J242="",$L242,$J242),ROUNDDOWN($L242*$I242,0)))),""))</f>
        <v/>
      </c>
      <c r="N242" s="24">
        <f>IF(OR($M242="",NOT(ISNUMBER($F242))),"",$M242-$F242)</f>
        <v/>
      </c>
      <c r="O242" s="25">
        <f>IF(COUNTA($A242:$B242,$E242:$G242,$R242)=0,"",IF($S242&lt;&gt;"OK","REVISAR CADASTRO",IF($N242&gt;0,"AUMENTAR",IF($N242&lt;0,"REDUZIR","SEM AÇÃO"))))</f>
        <v/>
      </c>
      <c r="P242" s="25">
        <f>IF(COUNTA($A242:$B242,$E242:$G242,$R242)=0,"",IF($S242&lt;&gt;"OK","REVISAR",IF(OR($D242&lt;&gt;"Ativo",$H242&lt;&gt;"Sim"),IF($F242&gt;0,"ALTO","SEM EXPOSIÇÃO"),IF(OR($F242&gt;$M242,SUMIFS($F$6:$F$305,$B$6:$B$305,$B242,$S$6:$S$305,"OK")&gt;$L242),"ALTO",IF(AND($F242&gt;0,$L242&lt;=$K242),"MÉDIO","BAIXO")))))</f>
        <v/>
      </c>
      <c r="Q242" s="25">
        <f>IF(COUNTA($A242:$B242,$E242:$G242,$R242)=0,"",IF($S242&lt;&gt;"OK","REVISAR",IF($O242="SEM AÇÃO","BAIXA",IF(OR($P242="ALTO",ABS($N242)&gt;='Configurações'!$B$3),"URGENTE",IF(OR($P242="MÉDIO",'Configurações'!$B$5-$R242&gt;'Configurações'!$B$4),"ALTA","NORMAL")))))</f>
        <v/>
      </c>
      <c r="R242" s="23" t="n"/>
      <c r="S242" s="25">
        <f>IF(COUNTA($A242:$B242,$E242:$G242,$R242)=0,"",IF($A242="","ID AUSENTE",IF(COUNTIF($A$6:$A$305,$A242)&gt;1,"ID DUPLICADO",IF($B242="","SKU AUSENTE",IF(COUNTIF('Estoque Central'!$A$6:$A$205,$B242)=0,"SKU NÃO CADASTRADO",IF(IFERROR(VLOOKUP($B242,'Estoque Central'!$A$6:$M$205,13,FALSE),"")&lt;&gt;"OK","ESTOQUE CENTRAL COM PENDÊNCIA",IF($E242="","CANAL AUSENTE",IF(COUNTIF('Configurações'!$A$11:$A$20,$E242)=0,"CANAL NÃO CONFIGURADO",IF(IFERROR(VLOOKUP($E242,'Configurações'!$A$11:$F$20,6,FALSE),"")&lt;&gt;"OK","CANAL COM PENDÊNCIA",IF(COUNTIFS($B$6:$B$305,$B242,$E$6:$E$305,$E242)&gt;1,"SKU/CANAL DUPLICADO",IF(IFERROR(OR(NOT(ISNUMBER($F242)),$F242&lt;0,MOD($F242,1)&lt;&gt;0),TRUE),"SALDO PUBLICADO INVÁLIDO",IF(IFERROR(OR(NOT(ISNUMBER($G242)),$G242&lt;0,MOD($G242,1)&lt;&gt;0),TRUE),"PEDIDOS PENDENTES INVÁLIDOS",IF(IFERROR(OR(NOT(ISNUMBER($R242)),$R242&gt;'Configurações'!$B$5),TRUE),"DATA INVÁLIDA","OK")))))))))))))</f>
        <v/>
      </c>
    </row>
    <row r="243">
      <c r="A243" s="21" t="n"/>
      <c r="B243" s="21" t="n"/>
      <c r="C243" s="27">
        <f>IFERROR(VLOOKUP($B243,'Estoque Central'!$A$6:$M$205,2,FALSE),"")</f>
        <v/>
      </c>
      <c r="D243" s="25">
        <f>IFERROR(VLOOKUP($B243,'Estoque Central'!$A$6:$M$205,3,FALSE),"")</f>
        <v/>
      </c>
      <c r="E243" s="21" t="n"/>
      <c r="F243" s="22" t="n"/>
      <c r="G243" s="22" t="n"/>
      <c r="H243" s="25">
        <f>IFERROR(VLOOKUP($E243,'Configurações'!$A$11:$F$20,2,FALSE),"")</f>
        <v/>
      </c>
      <c r="I243" s="28">
        <f>IFERROR(VLOOKUP($E243,'Configurações'!$A$11:$F$20,3,FALSE),"")</f>
        <v/>
      </c>
      <c r="J243" s="24">
        <f>IFERROR(VLOOKUP($E243,'Configurações'!$A$11:$F$20,4,FALSE),"")</f>
        <v/>
      </c>
      <c r="K243" s="24">
        <f>IFERROR(VLOOKUP($E243,'Configurações'!$A$11:$F$20,5,FALSE),"")</f>
        <v/>
      </c>
      <c r="L243" s="24">
        <f>IFERROR(VLOOKUP($B243,'Estoque Central'!$A$6:$M$205,9,FALSE),"")</f>
        <v/>
      </c>
      <c r="M243" s="24">
        <f>IF(COUNTA($A243:$B243,$E243:$G243,$R243)=0,"",IFERROR(IF(OR($C243="",$H243=""),"",IF(OR($D243&lt;&gt;"Ativo",$H243&lt;&gt;"Sim"),0,MIN(IF($J243="",$L243,$J243),ROUNDDOWN($L243*$I243,0)))),""))</f>
        <v/>
      </c>
      <c r="N243" s="24">
        <f>IF(OR($M243="",NOT(ISNUMBER($F243))),"",$M243-$F243)</f>
        <v/>
      </c>
      <c r="O243" s="25">
        <f>IF(COUNTA($A243:$B243,$E243:$G243,$R243)=0,"",IF($S243&lt;&gt;"OK","REVISAR CADASTRO",IF($N243&gt;0,"AUMENTAR",IF($N243&lt;0,"REDUZIR","SEM AÇÃO"))))</f>
        <v/>
      </c>
      <c r="P243" s="25">
        <f>IF(COUNTA($A243:$B243,$E243:$G243,$R243)=0,"",IF($S243&lt;&gt;"OK","REVISAR",IF(OR($D243&lt;&gt;"Ativo",$H243&lt;&gt;"Sim"),IF($F243&gt;0,"ALTO","SEM EXPOSIÇÃO"),IF(OR($F243&gt;$M243,SUMIFS($F$6:$F$305,$B$6:$B$305,$B243,$S$6:$S$305,"OK")&gt;$L243),"ALTO",IF(AND($F243&gt;0,$L243&lt;=$K243),"MÉDIO","BAIXO")))))</f>
        <v/>
      </c>
      <c r="Q243" s="25">
        <f>IF(COUNTA($A243:$B243,$E243:$G243,$R243)=0,"",IF($S243&lt;&gt;"OK","REVISAR",IF($O243="SEM AÇÃO","BAIXA",IF(OR($P243="ALTO",ABS($N243)&gt;='Configurações'!$B$3),"URGENTE",IF(OR($P243="MÉDIO",'Configurações'!$B$5-$R243&gt;'Configurações'!$B$4),"ALTA","NORMAL")))))</f>
        <v/>
      </c>
      <c r="R243" s="23" t="n"/>
      <c r="S243" s="25">
        <f>IF(COUNTA($A243:$B243,$E243:$G243,$R243)=0,"",IF($A243="","ID AUSENTE",IF(COUNTIF($A$6:$A$305,$A243)&gt;1,"ID DUPLICADO",IF($B243="","SKU AUSENTE",IF(COUNTIF('Estoque Central'!$A$6:$A$205,$B243)=0,"SKU NÃO CADASTRADO",IF(IFERROR(VLOOKUP($B243,'Estoque Central'!$A$6:$M$205,13,FALSE),"")&lt;&gt;"OK","ESTOQUE CENTRAL COM PENDÊNCIA",IF($E243="","CANAL AUSENTE",IF(COUNTIF('Configurações'!$A$11:$A$20,$E243)=0,"CANAL NÃO CONFIGURADO",IF(IFERROR(VLOOKUP($E243,'Configurações'!$A$11:$F$20,6,FALSE),"")&lt;&gt;"OK","CANAL COM PENDÊNCIA",IF(COUNTIFS($B$6:$B$305,$B243,$E$6:$E$305,$E243)&gt;1,"SKU/CANAL DUPLICADO",IF(IFERROR(OR(NOT(ISNUMBER($F243)),$F243&lt;0,MOD($F243,1)&lt;&gt;0),TRUE),"SALDO PUBLICADO INVÁLIDO",IF(IFERROR(OR(NOT(ISNUMBER($G243)),$G243&lt;0,MOD($G243,1)&lt;&gt;0),TRUE),"PEDIDOS PENDENTES INVÁLIDOS",IF(IFERROR(OR(NOT(ISNUMBER($R243)),$R243&gt;'Configurações'!$B$5),TRUE),"DATA INVÁLIDA","OK")))))))))))))</f>
        <v/>
      </c>
    </row>
    <row r="244">
      <c r="A244" s="21" t="n"/>
      <c r="B244" s="21" t="n"/>
      <c r="C244" s="27">
        <f>IFERROR(VLOOKUP($B244,'Estoque Central'!$A$6:$M$205,2,FALSE),"")</f>
        <v/>
      </c>
      <c r="D244" s="25">
        <f>IFERROR(VLOOKUP($B244,'Estoque Central'!$A$6:$M$205,3,FALSE),"")</f>
        <v/>
      </c>
      <c r="E244" s="21" t="n"/>
      <c r="F244" s="22" t="n"/>
      <c r="G244" s="22" t="n"/>
      <c r="H244" s="25">
        <f>IFERROR(VLOOKUP($E244,'Configurações'!$A$11:$F$20,2,FALSE),"")</f>
        <v/>
      </c>
      <c r="I244" s="28">
        <f>IFERROR(VLOOKUP($E244,'Configurações'!$A$11:$F$20,3,FALSE),"")</f>
        <v/>
      </c>
      <c r="J244" s="24">
        <f>IFERROR(VLOOKUP($E244,'Configurações'!$A$11:$F$20,4,FALSE),"")</f>
        <v/>
      </c>
      <c r="K244" s="24">
        <f>IFERROR(VLOOKUP($E244,'Configurações'!$A$11:$F$20,5,FALSE),"")</f>
        <v/>
      </c>
      <c r="L244" s="24">
        <f>IFERROR(VLOOKUP($B244,'Estoque Central'!$A$6:$M$205,9,FALSE),"")</f>
        <v/>
      </c>
      <c r="M244" s="24">
        <f>IF(COUNTA($A244:$B244,$E244:$G244,$R244)=0,"",IFERROR(IF(OR($C244="",$H244=""),"",IF(OR($D244&lt;&gt;"Ativo",$H244&lt;&gt;"Sim"),0,MIN(IF($J244="",$L244,$J244),ROUNDDOWN($L244*$I244,0)))),""))</f>
        <v/>
      </c>
      <c r="N244" s="24">
        <f>IF(OR($M244="",NOT(ISNUMBER($F244))),"",$M244-$F244)</f>
        <v/>
      </c>
      <c r="O244" s="25">
        <f>IF(COUNTA($A244:$B244,$E244:$G244,$R244)=0,"",IF($S244&lt;&gt;"OK","REVISAR CADASTRO",IF($N244&gt;0,"AUMENTAR",IF($N244&lt;0,"REDUZIR","SEM AÇÃO"))))</f>
        <v/>
      </c>
      <c r="P244" s="25">
        <f>IF(COUNTA($A244:$B244,$E244:$G244,$R244)=0,"",IF($S244&lt;&gt;"OK","REVISAR",IF(OR($D244&lt;&gt;"Ativo",$H244&lt;&gt;"Sim"),IF($F244&gt;0,"ALTO","SEM EXPOSIÇÃO"),IF(OR($F244&gt;$M244,SUMIFS($F$6:$F$305,$B$6:$B$305,$B244,$S$6:$S$305,"OK")&gt;$L244),"ALTO",IF(AND($F244&gt;0,$L244&lt;=$K244),"MÉDIO","BAIXO")))))</f>
        <v/>
      </c>
      <c r="Q244" s="25">
        <f>IF(COUNTA($A244:$B244,$E244:$G244,$R244)=0,"",IF($S244&lt;&gt;"OK","REVISAR",IF($O244="SEM AÇÃO","BAIXA",IF(OR($P244="ALTO",ABS($N244)&gt;='Configurações'!$B$3),"URGENTE",IF(OR($P244="MÉDIO",'Configurações'!$B$5-$R244&gt;'Configurações'!$B$4),"ALTA","NORMAL")))))</f>
        <v/>
      </c>
      <c r="R244" s="23" t="n"/>
      <c r="S244" s="25">
        <f>IF(COUNTA($A244:$B244,$E244:$G244,$R244)=0,"",IF($A244="","ID AUSENTE",IF(COUNTIF($A$6:$A$305,$A244)&gt;1,"ID DUPLICADO",IF($B244="","SKU AUSENTE",IF(COUNTIF('Estoque Central'!$A$6:$A$205,$B244)=0,"SKU NÃO CADASTRADO",IF(IFERROR(VLOOKUP($B244,'Estoque Central'!$A$6:$M$205,13,FALSE),"")&lt;&gt;"OK","ESTOQUE CENTRAL COM PENDÊNCIA",IF($E244="","CANAL AUSENTE",IF(COUNTIF('Configurações'!$A$11:$A$20,$E244)=0,"CANAL NÃO CONFIGURADO",IF(IFERROR(VLOOKUP($E244,'Configurações'!$A$11:$F$20,6,FALSE),"")&lt;&gt;"OK","CANAL COM PENDÊNCIA",IF(COUNTIFS($B$6:$B$305,$B244,$E$6:$E$305,$E244)&gt;1,"SKU/CANAL DUPLICADO",IF(IFERROR(OR(NOT(ISNUMBER($F244)),$F244&lt;0,MOD($F244,1)&lt;&gt;0),TRUE),"SALDO PUBLICADO INVÁLIDO",IF(IFERROR(OR(NOT(ISNUMBER($G244)),$G244&lt;0,MOD($G244,1)&lt;&gt;0),TRUE),"PEDIDOS PENDENTES INVÁLIDOS",IF(IFERROR(OR(NOT(ISNUMBER($R244)),$R244&gt;'Configurações'!$B$5),TRUE),"DATA INVÁLIDA","OK")))))))))))))</f>
        <v/>
      </c>
    </row>
    <row r="245">
      <c r="A245" s="21" t="n"/>
      <c r="B245" s="21" t="n"/>
      <c r="C245" s="27">
        <f>IFERROR(VLOOKUP($B245,'Estoque Central'!$A$6:$M$205,2,FALSE),"")</f>
        <v/>
      </c>
      <c r="D245" s="25">
        <f>IFERROR(VLOOKUP($B245,'Estoque Central'!$A$6:$M$205,3,FALSE),"")</f>
        <v/>
      </c>
      <c r="E245" s="21" t="n"/>
      <c r="F245" s="22" t="n"/>
      <c r="G245" s="22" t="n"/>
      <c r="H245" s="25">
        <f>IFERROR(VLOOKUP($E245,'Configurações'!$A$11:$F$20,2,FALSE),"")</f>
        <v/>
      </c>
      <c r="I245" s="28">
        <f>IFERROR(VLOOKUP($E245,'Configurações'!$A$11:$F$20,3,FALSE),"")</f>
        <v/>
      </c>
      <c r="J245" s="24">
        <f>IFERROR(VLOOKUP($E245,'Configurações'!$A$11:$F$20,4,FALSE),"")</f>
        <v/>
      </c>
      <c r="K245" s="24">
        <f>IFERROR(VLOOKUP($E245,'Configurações'!$A$11:$F$20,5,FALSE),"")</f>
        <v/>
      </c>
      <c r="L245" s="24">
        <f>IFERROR(VLOOKUP($B245,'Estoque Central'!$A$6:$M$205,9,FALSE),"")</f>
        <v/>
      </c>
      <c r="M245" s="24">
        <f>IF(COUNTA($A245:$B245,$E245:$G245,$R245)=0,"",IFERROR(IF(OR($C245="",$H245=""),"",IF(OR($D245&lt;&gt;"Ativo",$H245&lt;&gt;"Sim"),0,MIN(IF($J245="",$L245,$J245),ROUNDDOWN($L245*$I245,0)))),""))</f>
        <v/>
      </c>
      <c r="N245" s="24">
        <f>IF(OR($M245="",NOT(ISNUMBER($F245))),"",$M245-$F245)</f>
        <v/>
      </c>
      <c r="O245" s="25">
        <f>IF(COUNTA($A245:$B245,$E245:$G245,$R245)=0,"",IF($S245&lt;&gt;"OK","REVISAR CADASTRO",IF($N245&gt;0,"AUMENTAR",IF($N245&lt;0,"REDUZIR","SEM AÇÃO"))))</f>
        <v/>
      </c>
      <c r="P245" s="25">
        <f>IF(COUNTA($A245:$B245,$E245:$G245,$R245)=0,"",IF($S245&lt;&gt;"OK","REVISAR",IF(OR($D245&lt;&gt;"Ativo",$H245&lt;&gt;"Sim"),IF($F245&gt;0,"ALTO","SEM EXPOSIÇÃO"),IF(OR($F245&gt;$M245,SUMIFS($F$6:$F$305,$B$6:$B$305,$B245,$S$6:$S$305,"OK")&gt;$L245),"ALTO",IF(AND($F245&gt;0,$L245&lt;=$K245),"MÉDIO","BAIXO")))))</f>
        <v/>
      </c>
      <c r="Q245" s="25">
        <f>IF(COUNTA($A245:$B245,$E245:$G245,$R245)=0,"",IF($S245&lt;&gt;"OK","REVISAR",IF($O245="SEM AÇÃO","BAIXA",IF(OR($P245="ALTO",ABS($N245)&gt;='Configurações'!$B$3),"URGENTE",IF(OR($P245="MÉDIO",'Configurações'!$B$5-$R245&gt;'Configurações'!$B$4),"ALTA","NORMAL")))))</f>
        <v/>
      </c>
      <c r="R245" s="23" t="n"/>
      <c r="S245" s="25">
        <f>IF(COUNTA($A245:$B245,$E245:$G245,$R245)=0,"",IF($A245="","ID AUSENTE",IF(COUNTIF($A$6:$A$305,$A245)&gt;1,"ID DUPLICADO",IF($B245="","SKU AUSENTE",IF(COUNTIF('Estoque Central'!$A$6:$A$205,$B245)=0,"SKU NÃO CADASTRADO",IF(IFERROR(VLOOKUP($B245,'Estoque Central'!$A$6:$M$205,13,FALSE),"")&lt;&gt;"OK","ESTOQUE CENTRAL COM PENDÊNCIA",IF($E245="","CANAL AUSENTE",IF(COUNTIF('Configurações'!$A$11:$A$20,$E245)=0,"CANAL NÃO CONFIGURADO",IF(IFERROR(VLOOKUP($E245,'Configurações'!$A$11:$F$20,6,FALSE),"")&lt;&gt;"OK","CANAL COM PENDÊNCIA",IF(COUNTIFS($B$6:$B$305,$B245,$E$6:$E$305,$E245)&gt;1,"SKU/CANAL DUPLICADO",IF(IFERROR(OR(NOT(ISNUMBER($F245)),$F245&lt;0,MOD($F245,1)&lt;&gt;0),TRUE),"SALDO PUBLICADO INVÁLIDO",IF(IFERROR(OR(NOT(ISNUMBER($G245)),$G245&lt;0,MOD($G245,1)&lt;&gt;0),TRUE),"PEDIDOS PENDENTES INVÁLIDOS",IF(IFERROR(OR(NOT(ISNUMBER($R245)),$R245&gt;'Configurações'!$B$5),TRUE),"DATA INVÁLIDA","OK")))))))))))))</f>
        <v/>
      </c>
    </row>
    <row r="246">
      <c r="A246" s="21" t="n"/>
      <c r="B246" s="21" t="n"/>
      <c r="C246" s="27">
        <f>IFERROR(VLOOKUP($B246,'Estoque Central'!$A$6:$M$205,2,FALSE),"")</f>
        <v/>
      </c>
      <c r="D246" s="25">
        <f>IFERROR(VLOOKUP($B246,'Estoque Central'!$A$6:$M$205,3,FALSE),"")</f>
        <v/>
      </c>
      <c r="E246" s="21" t="n"/>
      <c r="F246" s="22" t="n"/>
      <c r="G246" s="22" t="n"/>
      <c r="H246" s="25">
        <f>IFERROR(VLOOKUP($E246,'Configurações'!$A$11:$F$20,2,FALSE),"")</f>
        <v/>
      </c>
      <c r="I246" s="28">
        <f>IFERROR(VLOOKUP($E246,'Configurações'!$A$11:$F$20,3,FALSE),"")</f>
        <v/>
      </c>
      <c r="J246" s="24">
        <f>IFERROR(VLOOKUP($E246,'Configurações'!$A$11:$F$20,4,FALSE),"")</f>
        <v/>
      </c>
      <c r="K246" s="24">
        <f>IFERROR(VLOOKUP($E246,'Configurações'!$A$11:$F$20,5,FALSE),"")</f>
        <v/>
      </c>
      <c r="L246" s="24">
        <f>IFERROR(VLOOKUP($B246,'Estoque Central'!$A$6:$M$205,9,FALSE),"")</f>
        <v/>
      </c>
      <c r="M246" s="24">
        <f>IF(COUNTA($A246:$B246,$E246:$G246,$R246)=0,"",IFERROR(IF(OR($C246="",$H246=""),"",IF(OR($D246&lt;&gt;"Ativo",$H246&lt;&gt;"Sim"),0,MIN(IF($J246="",$L246,$J246),ROUNDDOWN($L246*$I246,0)))),""))</f>
        <v/>
      </c>
      <c r="N246" s="24">
        <f>IF(OR($M246="",NOT(ISNUMBER($F246))),"",$M246-$F246)</f>
        <v/>
      </c>
      <c r="O246" s="25">
        <f>IF(COUNTA($A246:$B246,$E246:$G246,$R246)=0,"",IF($S246&lt;&gt;"OK","REVISAR CADASTRO",IF($N246&gt;0,"AUMENTAR",IF($N246&lt;0,"REDUZIR","SEM AÇÃO"))))</f>
        <v/>
      </c>
      <c r="P246" s="25">
        <f>IF(COUNTA($A246:$B246,$E246:$G246,$R246)=0,"",IF($S246&lt;&gt;"OK","REVISAR",IF(OR($D246&lt;&gt;"Ativo",$H246&lt;&gt;"Sim"),IF($F246&gt;0,"ALTO","SEM EXPOSIÇÃO"),IF(OR($F246&gt;$M246,SUMIFS($F$6:$F$305,$B$6:$B$305,$B246,$S$6:$S$305,"OK")&gt;$L246),"ALTO",IF(AND($F246&gt;0,$L246&lt;=$K246),"MÉDIO","BAIXO")))))</f>
        <v/>
      </c>
      <c r="Q246" s="25">
        <f>IF(COUNTA($A246:$B246,$E246:$G246,$R246)=0,"",IF($S246&lt;&gt;"OK","REVISAR",IF($O246="SEM AÇÃO","BAIXA",IF(OR($P246="ALTO",ABS($N246)&gt;='Configurações'!$B$3),"URGENTE",IF(OR($P246="MÉDIO",'Configurações'!$B$5-$R246&gt;'Configurações'!$B$4),"ALTA","NORMAL")))))</f>
        <v/>
      </c>
      <c r="R246" s="23" t="n"/>
      <c r="S246" s="25">
        <f>IF(COUNTA($A246:$B246,$E246:$G246,$R246)=0,"",IF($A246="","ID AUSENTE",IF(COUNTIF($A$6:$A$305,$A246)&gt;1,"ID DUPLICADO",IF($B246="","SKU AUSENTE",IF(COUNTIF('Estoque Central'!$A$6:$A$205,$B246)=0,"SKU NÃO CADASTRADO",IF(IFERROR(VLOOKUP($B246,'Estoque Central'!$A$6:$M$205,13,FALSE),"")&lt;&gt;"OK","ESTOQUE CENTRAL COM PENDÊNCIA",IF($E246="","CANAL AUSENTE",IF(COUNTIF('Configurações'!$A$11:$A$20,$E246)=0,"CANAL NÃO CONFIGURADO",IF(IFERROR(VLOOKUP($E246,'Configurações'!$A$11:$F$20,6,FALSE),"")&lt;&gt;"OK","CANAL COM PENDÊNCIA",IF(COUNTIFS($B$6:$B$305,$B246,$E$6:$E$305,$E246)&gt;1,"SKU/CANAL DUPLICADO",IF(IFERROR(OR(NOT(ISNUMBER($F246)),$F246&lt;0,MOD($F246,1)&lt;&gt;0),TRUE),"SALDO PUBLICADO INVÁLIDO",IF(IFERROR(OR(NOT(ISNUMBER($G246)),$G246&lt;0,MOD($G246,1)&lt;&gt;0),TRUE),"PEDIDOS PENDENTES INVÁLIDOS",IF(IFERROR(OR(NOT(ISNUMBER($R246)),$R246&gt;'Configurações'!$B$5),TRUE),"DATA INVÁLIDA","OK")))))))))))))</f>
        <v/>
      </c>
    </row>
    <row r="247">
      <c r="A247" s="21" t="n"/>
      <c r="B247" s="21" t="n"/>
      <c r="C247" s="27">
        <f>IFERROR(VLOOKUP($B247,'Estoque Central'!$A$6:$M$205,2,FALSE),"")</f>
        <v/>
      </c>
      <c r="D247" s="25">
        <f>IFERROR(VLOOKUP($B247,'Estoque Central'!$A$6:$M$205,3,FALSE),"")</f>
        <v/>
      </c>
      <c r="E247" s="21" t="n"/>
      <c r="F247" s="22" t="n"/>
      <c r="G247" s="22" t="n"/>
      <c r="H247" s="25">
        <f>IFERROR(VLOOKUP($E247,'Configurações'!$A$11:$F$20,2,FALSE),"")</f>
        <v/>
      </c>
      <c r="I247" s="28">
        <f>IFERROR(VLOOKUP($E247,'Configurações'!$A$11:$F$20,3,FALSE),"")</f>
        <v/>
      </c>
      <c r="J247" s="24">
        <f>IFERROR(VLOOKUP($E247,'Configurações'!$A$11:$F$20,4,FALSE),"")</f>
        <v/>
      </c>
      <c r="K247" s="24">
        <f>IFERROR(VLOOKUP($E247,'Configurações'!$A$11:$F$20,5,FALSE),"")</f>
        <v/>
      </c>
      <c r="L247" s="24">
        <f>IFERROR(VLOOKUP($B247,'Estoque Central'!$A$6:$M$205,9,FALSE),"")</f>
        <v/>
      </c>
      <c r="M247" s="24">
        <f>IF(COUNTA($A247:$B247,$E247:$G247,$R247)=0,"",IFERROR(IF(OR($C247="",$H247=""),"",IF(OR($D247&lt;&gt;"Ativo",$H247&lt;&gt;"Sim"),0,MIN(IF($J247="",$L247,$J247),ROUNDDOWN($L247*$I247,0)))),""))</f>
        <v/>
      </c>
      <c r="N247" s="24">
        <f>IF(OR($M247="",NOT(ISNUMBER($F247))),"",$M247-$F247)</f>
        <v/>
      </c>
      <c r="O247" s="25">
        <f>IF(COUNTA($A247:$B247,$E247:$G247,$R247)=0,"",IF($S247&lt;&gt;"OK","REVISAR CADASTRO",IF($N247&gt;0,"AUMENTAR",IF($N247&lt;0,"REDUZIR","SEM AÇÃO"))))</f>
        <v/>
      </c>
      <c r="P247" s="25">
        <f>IF(COUNTA($A247:$B247,$E247:$G247,$R247)=0,"",IF($S247&lt;&gt;"OK","REVISAR",IF(OR($D247&lt;&gt;"Ativo",$H247&lt;&gt;"Sim"),IF($F247&gt;0,"ALTO","SEM EXPOSIÇÃO"),IF(OR($F247&gt;$M247,SUMIFS($F$6:$F$305,$B$6:$B$305,$B247,$S$6:$S$305,"OK")&gt;$L247),"ALTO",IF(AND($F247&gt;0,$L247&lt;=$K247),"MÉDIO","BAIXO")))))</f>
        <v/>
      </c>
      <c r="Q247" s="25">
        <f>IF(COUNTA($A247:$B247,$E247:$G247,$R247)=0,"",IF($S247&lt;&gt;"OK","REVISAR",IF($O247="SEM AÇÃO","BAIXA",IF(OR($P247="ALTO",ABS($N247)&gt;='Configurações'!$B$3),"URGENTE",IF(OR($P247="MÉDIO",'Configurações'!$B$5-$R247&gt;'Configurações'!$B$4),"ALTA","NORMAL")))))</f>
        <v/>
      </c>
      <c r="R247" s="23" t="n"/>
      <c r="S247" s="25">
        <f>IF(COUNTA($A247:$B247,$E247:$G247,$R247)=0,"",IF($A247="","ID AUSENTE",IF(COUNTIF($A$6:$A$305,$A247)&gt;1,"ID DUPLICADO",IF($B247="","SKU AUSENTE",IF(COUNTIF('Estoque Central'!$A$6:$A$205,$B247)=0,"SKU NÃO CADASTRADO",IF(IFERROR(VLOOKUP($B247,'Estoque Central'!$A$6:$M$205,13,FALSE),"")&lt;&gt;"OK","ESTOQUE CENTRAL COM PENDÊNCIA",IF($E247="","CANAL AUSENTE",IF(COUNTIF('Configurações'!$A$11:$A$20,$E247)=0,"CANAL NÃO CONFIGURADO",IF(IFERROR(VLOOKUP($E247,'Configurações'!$A$11:$F$20,6,FALSE),"")&lt;&gt;"OK","CANAL COM PENDÊNCIA",IF(COUNTIFS($B$6:$B$305,$B247,$E$6:$E$305,$E247)&gt;1,"SKU/CANAL DUPLICADO",IF(IFERROR(OR(NOT(ISNUMBER($F247)),$F247&lt;0,MOD($F247,1)&lt;&gt;0),TRUE),"SALDO PUBLICADO INVÁLIDO",IF(IFERROR(OR(NOT(ISNUMBER($G247)),$G247&lt;0,MOD($G247,1)&lt;&gt;0),TRUE),"PEDIDOS PENDENTES INVÁLIDOS",IF(IFERROR(OR(NOT(ISNUMBER($R247)),$R247&gt;'Configurações'!$B$5),TRUE),"DATA INVÁLIDA","OK")))))))))))))</f>
        <v/>
      </c>
    </row>
    <row r="248">
      <c r="A248" s="21" t="n"/>
      <c r="B248" s="21" t="n"/>
      <c r="C248" s="27">
        <f>IFERROR(VLOOKUP($B248,'Estoque Central'!$A$6:$M$205,2,FALSE),"")</f>
        <v/>
      </c>
      <c r="D248" s="25">
        <f>IFERROR(VLOOKUP($B248,'Estoque Central'!$A$6:$M$205,3,FALSE),"")</f>
        <v/>
      </c>
      <c r="E248" s="21" t="n"/>
      <c r="F248" s="22" t="n"/>
      <c r="G248" s="22" t="n"/>
      <c r="H248" s="25">
        <f>IFERROR(VLOOKUP($E248,'Configurações'!$A$11:$F$20,2,FALSE),"")</f>
        <v/>
      </c>
      <c r="I248" s="28">
        <f>IFERROR(VLOOKUP($E248,'Configurações'!$A$11:$F$20,3,FALSE),"")</f>
        <v/>
      </c>
      <c r="J248" s="24">
        <f>IFERROR(VLOOKUP($E248,'Configurações'!$A$11:$F$20,4,FALSE),"")</f>
        <v/>
      </c>
      <c r="K248" s="24">
        <f>IFERROR(VLOOKUP($E248,'Configurações'!$A$11:$F$20,5,FALSE),"")</f>
        <v/>
      </c>
      <c r="L248" s="24">
        <f>IFERROR(VLOOKUP($B248,'Estoque Central'!$A$6:$M$205,9,FALSE),"")</f>
        <v/>
      </c>
      <c r="M248" s="24">
        <f>IF(COUNTA($A248:$B248,$E248:$G248,$R248)=0,"",IFERROR(IF(OR($C248="",$H248=""),"",IF(OR($D248&lt;&gt;"Ativo",$H248&lt;&gt;"Sim"),0,MIN(IF($J248="",$L248,$J248),ROUNDDOWN($L248*$I248,0)))),""))</f>
        <v/>
      </c>
      <c r="N248" s="24">
        <f>IF(OR($M248="",NOT(ISNUMBER($F248))),"",$M248-$F248)</f>
        <v/>
      </c>
      <c r="O248" s="25">
        <f>IF(COUNTA($A248:$B248,$E248:$G248,$R248)=0,"",IF($S248&lt;&gt;"OK","REVISAR CADASTRO",IF($N248&gt;0,"AUMENTAR",IF($N248&lt;0,"REDUZIR","SEM AÇÃO"))))</f>
        <v/>
      </c>
      <c r="P248" s="25">
        <f>IF(COUNTA($A248:$B248,$E248:$G248,$R248)=0,"",IF($S248&lt;&gt;"OK","REVISAR",IF(OR($D248&lt;&gt;"Ativo",$H248&lt;&gt;"Sim"),IF($F248&gt;0,"ALTO","SEM EXPOSIÇÃO"),IF(OR($F248&gt;$M248,SUMIFS($F$6:$F$305,$B$6:$B$305,$B248,$S$6:$S$305,"OK")&gt;$L248),"ALTO",IF(AND($F248&gt;0,$L248&lt;=$K248),"MÉDIO","BAIXO")))))</f>
        <v/>
      </c>
      <c r="Q248" s="25">
        <f>IF(COUNTA($A248:$B248,$E248:$G248,$R248)=0,"",IF($S248&lt;&gt;"OK","REVISAR",IF($O248="SEM AÇÃO","BAIXA",IF(OR($P248="ALTO",ABS($N248)&gt;='Configurações'!$B$3),"URGENTE",IF(OR($P248="MÉDIO",'Configurações'!$B$5-$R248&gt;'Configurações'!$B$4),"ALTA","NORMAL")))))</f>
        <v/>
      </c>
      <c r="R248" s="23" t="n"/>
      <c r="S248" s="25">
        <f>IF(COUNTA($A248:$B248,$E248:$G248,$R248)=0,"",IF($A248="","ID AUSENTE",IF(COUNTIF($A$6:$A$305,$A248)&gt;1,"ID DUPLICADO",IF($B248="","SKU AUSENTE",IF(COUNTIF('Estoque Central'!$A$6:$A$205,$B248)=0,"SKU NÃO CADASTRADO",IF(IFERROR(VLOOKUP($B248,'Estoque Central'!$A$6:$M$205,13,FALSE),"")&lt;&gt;"OK","ESTOQUE CENTRAL COM PENDÊNCIA",IF($E248="","CANAL AUSENTE",IF(COUNTIF('Configurações'!$A$11:$A$20,$E248)=0,"CANAL NÃO CONFIGURADO",IF(IFERROR(VLOOKUP($E248,'Configurações'!$A$11:$F$20,6,FALSE),"")&lt;&gt;"OK","CANAL COM PENDÊNCIA",IF(COUNTIFS($B$6:$B$305,$B248,$E$6:$E$305,$E248)&gt;1,"SKU/CANAL DUPLICADO",IF(IFERROR(OR(NOT(ISNUMBER($F248)),$F248&lt;0,MOD($F248,1)&lt;&gt;0),TRUE),"SALDO PUBLICADO INVÁLIDO",IF(IFERROR(OR(NOT(ISNUMBER($G248)),$G248&lt;0,MOD($G248,1)&lt;&gt;0),TRUE),"PEDIDOS PENDENTES INVÁLIDOS",IF(IFERROR(OR(NOT(ISNUMBER($R248)),$R248&gt;'Configurações'!$B$5),TRUE),"DATA INVÁLIDA","OK")))))))))))))</f>
        <v/>
      </c>
    </row>
    <row r="249">
      <c r="A249" s="21" t="n"/>
      <c r="B249" s="21" t="n"/>
      <c r="C249" s="27">
        <f>IFERROR(VLOOKUP($B249,'Estoque Central'!$A$6:$M$205,2,FALSE),"")</f>
        <v/>
      </c>
      <c r="D249" s="25">
        <f>IFERROR(VLOOKUP($B249,'Estoque Central'!$A$6:$M$205,3,FALSE),"")</f>
        <v/>
      </c>
      <c r="E249" s="21" t="n"/>
      <c r="F249" s="22" t="n"/>
      <c r="G249" s="22" t="n"/>
      <c r="H249" s="25">
        <f>IFERROR(VLOOKUP($E249,'Configurações'!$A$11:$F$20,2,FALSE),"")</f>
        <v/>
      </c>
      <c r="I249" s="28">
        <f>IFERROR(VLOOKUP($E249,'Configurações'!$A$11:$F$20,3,FALSE),"")</f>
        <v/>
      </c>
      <c r="J249" s="24">
        <f>IFERROR(VLOOKUP($E249,'Configurações'!$A$11:$F$20,4,FALSE),"")</f>
        <v/>
      </c>
      <c r="K249" s="24">
        <f>IFERROR(VLOOKUP($E249,'Configurações'!$A$11:$F$20,5,FALSE),"")</f>
        <v/>
      </c>
      <c r="L249" s="24">
        <f>IFERROR(VLOOKUP($B249,'Estoque Central'!$A$6:$M$205,9,FALSE),"")</f>
        <v/>
      </c>
      <c r="M249" s="24">
        <f>IF(COUNTA($A249:$B249,$E249:$G249,$R249)=0,"",IFERROR(IF(OR($C249="",$H249=""),"",IF(OR($D249&lt;&gt;"Ativo",$H249&lt;&gt;"Sim"),0,MIN(IF($J249="",$L249,$J249),ROUNDDOWN($L249*$I249,0)))),""))</f>
        <v/>
      </c>
      <c r="N249" s="24">
        <f>IF(OR($M249="",NOT(ISNUMBER($F249))),"",$M249-$F249)</f>
        <v/>
      </c>
      <c r="O249" s="25">
        <f>IF(COUNTA($A249:$B249,$E249:$G249,$R249)=0,"",IF($S249&lt;&gt;"OK","REVISAR CADASTRO",IF($N249&gt;0,"AUMENTAR",IF($N249&lt;0,"REDUZIR","SEM AÇÃO"))))</f>
        <v/>
      </c>
      <c r="P249" s="25">
        <f>IF(COUNTA($A249:$B249,$E249:$G249,$R249)=0,"",IF($S249&lt;&gt;"OK","REVISAR",IF(OR($D249&lt;&gt;"Ativo",$H249&lt;&gt;"Sim"),IF($F249&gt;0,"ALTO","SEM EXPOSIÇÃO"),IF(OR($F249&gt;$M249,SUMIFS($F$6:$F$305,$B$6:$B$305,$B249,$S$6:$S$305,"OK")&gt;$L249),"ALTO",IF(AND($F249&gt;0,$L249&lt;=$K249),"MÉDIO","BAIXO")))))</f>
        <v/>
      </c>
      <c r="Q249" s="25">
        <f>IF(COUNTA($A249:$B249,$E249:$G249,$R249)=0,"",IF($S249&lt;&gt;"OK","REVISAR",IF($O249="SEM AÇÃO","BAIXA",IF(OR($P249="ALTO",ABS($N249)&gt;='Configurações'!$B$3),"URGENTE",IF(OR($P249="MÉDIO",'Configurações'!$B$5-$R249&gt;'Configurações'!$B$4),"ALTA","NORMAL")))))</f>
        <v/>
      </c>
      <c r="R249" s="23" t="n"/>
      <c r="S249" s="25">
        <f>IF(COUNTA($A249:$B249,$E249:$G249,$R249)=0,"",IF($A249="","ID AUSENTE",IF(COUNTIF($A$6:$A$305,$A249)&gt;1,"ID DUPLICADO",IF($B249="","SKU AUSENTE",IF(COUNTIF('Estoque Central'!$A$6:$A$205,$B249)=0,"SKU NÃO CADASTRADO",IF(IFERROR(VLOOKUP($B249,'Estoque Central'!$A$6:$M$205,13,FALSE),"")&lt;&gt;"OK","ESTOQUE CENTRAL COM PENDÊNCIA",IF($E249="","CANAL AUSENTE",IF(COUNTIF('Configurações'!$A$11:$A$20,$E249)=0,"CANAL NÃO CONFIGURADO",IF(IFERROR(VLOOKUP($E249,'Configurações'!$A$11:$F$20,6,FALSE),"")&lt;&gt;"OK","CANAL COM PENDÊNCIA",IF(COUNTIFS($B$6:$B$305,$B249,$E$6:$E$305,$E249)&gt;1,"SKU/CANAL DUPLICADO",IF(IFERROR(OR(NOT(ISNUMBER($F249)),$F249&lt;0,MOD($F249,1)&lt;&gt;0),TRUE),"SALDO PUBLICADO INVÁLIDO",IF(IFERROR(OR(NOT(ISNUMBER($G249)),$G249&lt;0,MOD($G249,1)&lt;&gt;0),TRUE),"PEDIDOS PENDENTES INVÁLIDOS",IF(IFERROR(OR(NOT(ISNUMBER($R249)),$R249&gt;'Configurações'!$B$5),TRUE),"DATA INVÁLIDA","OK")))))))))))))</f>
        <v/>
      </c>
    </row>
    <row r="250">
      <c r="A250" s="21" t="n"/>
      <c r="B250" s="21" t="n"/>
      <c r="C250" s="27">
        <f>IFERROR(VLOOKUP($B250,'Estoque Central'!$A$6:$M$205,2,FALSE),"")</f>
        <v/>
      </c>
      <c r="D250" s="25">
        <f>IFERROR(VLOOKUP($B250,'Estoque Central'!$A$6:$M$205,3,FALSE),"")</f>
        <v/>
      </c>
      <c r="E250" s="21" t="n"/>
      <c r="F250" s="22" t="n"/>
      <c r="G250" s="22" t="n"/>
      <c r="H250" s="25">
        <f>IFERROR(VLOOKUP($E250,'Configurações'!$A$11:$F$20,2,FALSE),"")</f>
        <v/>
      </c>
      <c r="I250" s="28">
        <f>IFERROR(VLOOKUP($E250,'Configurações'!$A$11:$F$20,3,FALSE),"")</f>
        <v/>
      </c>
      <c r="J250" s="24">
        <f>IFERROR(VLOOKUP($E250,'Configurações'!$A$11:$F$20,4,FALSE),"")</f>
        <v/>
      </c>
      <c r="K250" s="24">
        <f>IFERROR(VLOOKUP($E250,'Configurações'!$A$11:$F$20,5,FALSE),"")</f>
        <v/>
      </c>
      <c r="L250" s="24">
        <f>IFERROR(VLOOKUP($B250,'Estoque Central'!$A$6:$M$205,9,FALSE),"")</f>
        <v/>
      </c>
      <c r="M250" s="24">
        <f>IF(COUNTA($A250:$B250,$E250:$G250,$R250)=0,"",IFERROR(IF(OR($C250="",$H250=""),"",IF(OR($D250&lt;&gt;"Ativo",$H250&lt;&gt;"Sim"),0,MIN(IF($J250="",$L250,$J250),ROUNDDOWN($L250*$I250,0)))),""))</f>
        <v/>
      </c>
      <c r="N250" s="24">
        <f>IF(OR($M250="",NOT(ISNUMBER($F250))),"",$M250-$F250)</f>
        <v/>
      </c>
      <c r="O250" s="25">
        <f>IF(COUNTA($A250:$B250,$E250:$G250,$R250)=0,"",IF($S250&lt;&gt;"OK","REVISAR CADASTRO",IF($N250&gt;0,"AUMENTAR",IF($N250&lt;0,"REDUZIR","SEM AÇÃO"))))</f>
        <v/>
      </c>
      <c r="P250" s="25">
        <f>IF(COUNTA($A250:$B250,$E250:$G250,$R250)=0,"",IF($S250&lt;&gt;"OK","REVISAR",IF(OR($D250&lt;&gt;"Ativo",$H250&lt;&gt;"Sim"),IF($F250&gt;0,"ALTO","SEM EXPOSIÇÃO"),IF(OR($F250&gt;$M250,SUMIFS($F$6:$F$305,$B$6:$B$305,$B250,$S$6:$S$305,"OK")&gt;$L250),"ALTO",IF(AND($F250&gt;0,$L250&lt;=$K250),"MÉDIO","BAIXO")))))</f>
        <v/>
      </c>
      <c r="Q250" s="25">
        <f>IF(COUNTA($A250:$B250,$E250:$G250,$R250)=0,"",IF($S250&lt;&gt;"OK","REVISAR",IF($O250="SEM AÇÃO","BAIXA",IF(OR($P250="ALTO",ABS($N250)&gt;='Configurações'!$B$3),"URGENTE",IF(OR($P250="MÉDIO",'Configurações'!$B$5-$R250&gt;'Configurações'!$B$4),"ALTA","NORMAL")))))</f>
        <v/>
      </c>
      <c r="R250" s="23" t="n"/>
      <c r="S250" s="25">
        <f>IF(COUNTA($A250:$B250,$E250:$G250,$R250)=0,"",IF($A250="","ID AUSENTE",IF(COUNTIF($A$6:$A$305,$A250)&gt;1,"ID DUPLICADO",IF($B250="","SKU AUSENTE",IF(COUNTIF('Estoque Central'!$A$6:$A$205,$B250)=0,"SKU NÃO CADASTRADO",IF(IFERROR(VLOOKUP($B250,'Estoque Central'!$A$6:$M$205,13,FALSE),"")&lt;&gt;"OK","ESTOQUE CENTRAL COM PENDÊNCIA",IF($E250="","CANAL AUSENTE",IF(COUNTIF('Configurações'!$A$11:$A$20,$E250)=0,"CANAL NÃO CONFIGURADO",IF(IFERROR(VLOOKUP($E250,'Configurações'!$A$11:$F$20,6,FALSE),"")&lt;&gt;"OK","CANAL COM PENDÊNCIA",IF(COUNTIFS($B$6:$B$305,$B250,$E$6:$E$305,$E250)&gt;1,"SKU/CANAL DUPLICADO",IF(IFERROR(OR(NOT(ISNUMBER($F250)),$F250&lt;0,MOD($F250,1)&lt;&gt;0),TRUE),"SALDO PUBLICADO INVÁLIDO",IF(IFERROR(OR(NOT(ISNUMBER($G250)),$G250&lt;0,MOD($G250,1)&lt;&gt;0),TRUE),"PEDIDOS PENDENTES INVÁLIDOS",IF(IFERROR(OR(NOT(ISNUMBER($R250)),$R250&gt;'Configurações'!$B$5),TRUE),"DATA INVÁLIDA","OK")))))))))))))</f>
        <v/>
      </c>
    </row>
    <row r="251">
      <c r="A251" s="21" t="n"/>
      <c r="B251" s="21" t="n"/>
      <c r="C251" s="27">
        <f>IFERROR(VLOOKUP($B251,'Estoque Central'!$A$6:$M$205,2,FALSE),"")</f>
        <v/>
      </c>
      <c r="D251" s="25">
        <f>IFERROR(VLOOKUP($B251,'Estoque Central'!$A$6:$M$205,3,FALSE),"")</f>
        <v/>
      </c>
      <c r="E251" s="21" t="n"/>
      <c r="F251" s="22" t="n"/>
      <c r="G251" s="22" t="n"/>
      <c r="H251" s="25">
        <f>IFERROR(VLOOKUP($E251,'Configurações'!$A$11:$F$20,2,FALSE),"")</f>
        <v/>
      </c>
      <c r="I251" s="28">
        <f>IFERROR(VLOOKUP($E251,'Configurações'!$A$11:$F$20,3,FALSE),"")</f>
        <v/>
      </c>
      <c r="J251" s="24">
        <f>IFERROR(VLOOKUP($E251,'Configurações'!$A$11:$F$20,4,FALSE),"")</f>
        <v/>
      </c>
      <c r="K251" s="24">
        <f>IFERROR(VLOOKUP($E251,'Configurações'!$A$11:$F$20,5,FALSE),"")</f>
        <v/>
      </c>
      <c r="L251" s="24">
        <f>IFERROR(VLOOKUP($B251,'Estoque Central'!$A$6:$M$205,9,FALSE),"")</f>
        <v/>
      </c>
      <c r="M251" s="24">
        <f>IF(COUNTA($A251:$B251,$E251:$G251,$R251)=0,"",IFERROR(IF(OR($C251="",$H251=""),"",IF(OR($D251&lt;&gt;"Ativo",$H251&lt;&gt;"Sim"),0,MIN(IF($J251="",$L251,$J251),ROUNDDOWN($L251*$I251,0)))),""))</f>
        <v/>
      </c>
      <c r="N251" s="24">
        <f>IF(OR($M251="",NOT(ISNUMBER($F251))),"",$M251-$F251)</f>
        <v/>
      </c>
      <c r="O251" s="25">
        <f>IF(COUNTA($A251:$B251,$E251:$G251,$R251)=0,"",IF($S251&lt;&gt;"OK","REVISAR CADASTRO",IF($N251&gt;0,"AUMENTAR",IF($N251&lt;0,"REDUZIR","SEM AÇÃO"))))</f>
        <v/>
      </c>
      <c r="P251" s="25">
        <f>IF(COUNTA($A251:$B251,$E251:$G251,$R251)=0,"",IF($S251&lt;&gt;"OK","REVISAR",IF(OR($D251&lt;&gt;"Ativo",$H251&lt;&gt;"Sim"),IF($F251&gt;0,"ALTO","SEM EXPOSIÇÃO"),IF(OR($F251&gt;$M251,SUMIFS($F$6:$F$305,$B$6:$B$305,$B251,$S$6:$S$305,"OK")&gt;$L251),"ALTO",IF(AND($F251&gt;0,$L251&lt;=$K251),"MÉDIO","BAIXO")))))</f>
        <v/>
      </c>
      <c r="Q251" s="25">
        <f>IF(COUNTA($A251:$B251,$E251:$G251,$R251)=0,"",IF($S251&lt;&gt;"OK","REVISAR",IF($O251="SEM AÇÃO","BAIXA",IF(OR($P251="ALTO",ABS($N251)&gt;='Configurações'!$B$3),"URGENTE",IF(OR($P251="MÉDIO",'Configurações'!$B$5-$R251&gt;'Configurações'!$B$4),"ALTA","NORMAL")))))</f>
        <v/>
      </c>
      <c r="R251" s="23" t="n"/>
      <c r="S251" s="25">
        <f>IF(COUNTA($A251:$B251,$E251:$G251,$R251)=0,"",IF($A251="","ID AUSENTE",IF(COUNTIF($A$6:$A$305,$A251)&gt;1,"ID DUPLICADO",IF($B251="","SKU AUSENTE",IF(COUNTIF('Estoque Central'!$A$6:$A$205,$B251)=0,"SKU NÃO CADASTRADO",IF(IFERROR(VLOOKUP($B251,'Estoque Central'!$A$6:$M$205,13,FALSE),"")&lt;&gt;"OK","ESTOQUE CENTRAL COM PENDÊNCIA",IF($E251="","CANAL AUSENTE",IF(COUNTIF('Configurações'!$A$11:$A$20,$E251)=0,"CANAL NÃO CONFIGURADO",IF(IFERROR(VLOOKUP($E251,'Configurações'!$A$11:$F$20,6,FALSE),"")&lt;&gt;"OK","CANAL COM PENDÊNCIA",IF(COUNTIFS($B$6:$B$305,$B251,$E$6:$E$305,$E251)&gt;1,"SKU/CANAL DUPLICADO",IF(IFERROR(OR(NOT(ISNUMBER($F251)),$F251&lt;0,MOD($F251,1)&lt;&gt;0),TRUE),"SALDO PUBLICADO INVÁLIDO",IF(IFERROR(OR(NOT(ISNUMBER($G251)),$G251&lt;0,MOD($G251,1)&lt;&gt;0),TRUE),"PEDIDOS PENDENTES INVÁLIDOS",IF(IFERROR(OR(NOT(ISNUMBER($R251)),$R251&gt;'Configurações'!$B$5),TRUE),"DATA INVÁLIDA","OK")))))))))))))</f>
        <v/>
      </c>
    </row>
    <row r="252">
      <c r="A252" s="21" t="n"/>
      <c r="B252" s="21" t="n"/>
      <c r="C252" s="27">
        <f>IFERROR(VLOOKUP($B252,'Estoque Central'!$A$6:$M$205,2,FALSE),"")</f>
        <v/>
      </c>
      <c r="D252" s="25">
        <f>IFERROR(VLOOKUP($B252,'Estoque Central'!$A$6:$M$205,3,FALSE),"")</f>
        <v/>
      </c>
      <c r="E252" s="21" t="n"/>
      <c r="F252" s="22" t="n"/>
      <c r="G252" s="22" t="n"/>
      <c r="H252" s="25">
        <f>IFERROR(VLOOKUP($E252,'Configurações'!$A$11:$F$20,2,FALSE),"")</f>
        <v/>
      </c>
      <c r="I252" s="28">
        <f>IFERROR(VLOOKUP($E252,'Configurações'!$A$11:$F$20,3,FALSE),"")</f>
        <v/>
      </c>
      <c r="J252" s="24">
        <f>IFERROR(VLOOKUP($E252,'Configurações'!$A$11:$F$20,4,FALSE),"")</f>
        <v/>
      </c>
      <c r="K252" s="24">
        <f>IFERROR(VLOOKUP($E252,'Configurações'!$A$11:$F$20,5,FALSE),"")</f>
        <v/>
      </c>
      <c r="L252" s="24">
        <f>IFERROR(VLOOKUP($B252,'Estoque Central'!$A$6:$M$205,9,FALSE),"")</f>
        <v/>
      </c>
      <c r="M252" s="24">
        <f>IF(COUNTA($A252:$B252,$E252:$G252,$R252)=0,"",IFERROR(IF(OR($C252="",$H252=""),"",IF(OR($D252&lt;&gt;"Ativo",$H252&lt;&gt;"Sim"),0,MIN(IF($J252="",$L252,$J252),ROUNDDOWN($L252*$I252,0)))),""))</f>
        <v/>
      </c>
      <c r="N252" s="24">
        <f>IF(OR($M252="",NOT(ISNUMBER($F252))),"",$M252-$F252)</f>
        <v/>
      </c>
      <c r="O252" s="25">
        <f>IF(COUNTA($A252:$B252,$E252:$G252,$R252)=0,"",IF($S252&lt;&gt;"OK","REVISAR CADASTRO",IF($N252&gt;0,"AUMENTAR",IF($N252&lt;0,"REDUZIR","SEM AÇÃO"))))</f>
        <v/>
      </c>
      <c r="P252" s="25">
        <f>IF(COUNTA($A252:$B252,$E252:$G252,$R252)=0,"",IF($S252&lt;&gt;"OK","REVISAR",IF(OR($D252&lt;&gt;"Ativo",$H252&lt;&gt;"Sim"),IF($F252&gt;0,"ALTO","SEM EXPOSIÇÃO"),IF(OR($F252&gt;$M252,SUMIFS($F$6:$F$305,$B$6:$B$305,$B252,$S$6:$S$305,"OK")&gt;$L252),"ALTO",IF(AND($F252&gt;0,$L252&lt;=$K252),"MÉDIO","BAIXO")))))</f>
        <v/>
      </c>
      <c r="Q252" s="25">
        <f>IF(COUNTA($A252:$B252,$E252:$G252,$R252)=0,"",IF($S252&lt;&gt;"OK","REVISAR",IF($O252="SEM AÇÃO","BAIXA",IF(OR($P252="ALTO",ABS($N252)&gt;='Configurações'!$B$3),"URGENTE",IF(OR($P252="MÉDIO",'Configurações'!$B$5-$R252&gt;'Configurações'!$B$4),"ALTA","NORMAL")))))</f>
        <v/>
      </c>
      <c r="R252" s="23" t="n"/>
      <c r="S252" s="25">
        <f>IF(COUNTA($A252:$B252,$E252:$G252,$R252)=0,"",IF($A252="","ID AUSENTE",IF(COUNTIF($A$6:$A$305,$A252)&gt;1,"ID DUPLICADO",IF($B252="","SKU AUSENTE",IF(COUNTIF('Estoque Central'!$A$6:$A$205,$B252)=0,"SKU NÃO CADASTRADO",IF(IFERROR(VLOOKUP($B252,'Estoque Central'!$A$6:$M$205,13,FALSE),"")&lt;&gt;"OK","ESTOQUE CENTRAL COM PENDÊNCIA",IF($E252="","CANAL AUSENTE",IF(COUNTIF('Configurações'!$A$11:$A$20,$E252)=0,"CANAL NÃO CONFIGURADO",IF(IFERROR(VLOOKUP($E252,'Configurações'!$A$11:$F$20,6,FALSE),"")&lt;&gt;"OK","CANAL COM PENDÊNCIA",IF(COUNTIFS($B$6:$B$305,$B252,$E$6:$E$305,$E252)&gt;1,"SKU/CANAL DUPLICADO",IF(IFERROR(OR(NOT(ISNUMBER($F252)),$F252&lt;0,MOD($F252,1)&lt;&gt;0),TRUE),"SALDO PUBLICADO INVÁLIDO",IF(IFERROR(OR(NOT(ISNUMBER($G252)),$G252&lt;0,MOD($G252,1)&lt;&gt;0),TRUE),"PEDIDOS PENDENTES INVÁLIDOS",IF(IFERROR(OR(NOT(ISNUMBER($R252)),$R252&gt;'Configurações'!$B$5),TRUE),"DATA INVÁLIDA","OK")))))))))))))</f>
        <v/>
      </c>
    </row>
    <row r="253">
      <c r="A253" s="21" t="n"/>
      <c r="B253" s="21" t="n"/>
      <c r="C253" s="27">
        <f>IFERROR(VLOOKUP($B253,'Estoque Central'!$A$6:$M$205,2,FALSE),"")</f>
        <v/>
      </c>
      <c r="D253" s="25">
        <f>IFERROR(VLOOKUP($B253,'Estoque Central'!$A$6:$M$205,3,FALSE),"")</f>
        <v/>
      </c>
      <c r="E253" s="21" t="n"/>
      <c r="F253" s="22" t="n"/>
      <c r="G253" s="22" t="n"/>
      <c r="H253" s="25">
        <f>IFERROR(VLOOKUP($E253,'Configurações'!$A$11:$F$20,2,FALSE),"")</f>
        <v/>
      </c>
      <c r="I253" s="28">
        <f>IFERROR(VLOOKUP($E253,'Configurações'!$A$11:$F$20,3,FALSE),"")</f>
        <v/>
      </c>
      <c r="J253" s="24">
        <f>IFERROR(VLOOKUP($E253,'Configurações'!$A$11:$F$20,4,FALSE),"")</f>
        <v/>
      </c>
      <c r="K253" s="24">
        <f>IFERROR(VLOOKUP($E253,'Configurações'!$A$11:$F$20,5,FALSE),"")</f>
        <v/>
      </c>
      <c r="L253" s="24">
        <f>IFERROR(VLOOKUP($B253,'Estoque Central'!$A$6:$M$205,9,FALSE),"")</f>
        <v/>
      </c>
      <c r="M253" s="24">
        <f>IF(COUNTA($A253:$B253,$E253:$G253,$R253)=0,"",IFERROR(IF(OR($C253="",$H253=""),"",IF(OR($D253&lt;&gt;"Ativo",$H253&lt;&gt;"Sim"),0,MIN(IF($J253="",$L253,$J253),ROUNDDOWN($L253*$I253,0)))),""))</f>
        <v/>
      </c>
      <c r="N253" s="24">
        <f>IF(OR($M253="",NOT(ISNUMBER($F253))),"",$M253-$F253)</f>
        <v/>
      </c>
      <c r="O253" s="25">
        <f>IF(COUNTA($A253:$B253,$E253:$G253,$R253)=0,"",IF($S253&lt;&gt;"OK","REVISAR CADASTRO",IF($N253&gt;0,"AUMENTAR",IF($N253&lt;0,"REDUZIR","SEM AÇÃO"))))</f>
        <v/>
      </c>
      <c r="P253" s="25">
        <f>IF(COUNTA($A253:$B253,$E253:$G253,$R253)=0,"",IF($S253&lt;&gt;"OK","REVISAR",IF(OR($D253&lt;&gt;"Ativo",$H253&lt;&gt;"Sim"),IF($F253&gt;0,"ALTO","SEM EXPOSIÇÃO"),IF(OR($F253&gt;$M253,SUMIFS($F$6:$F$305,$B$6:$B$305,$B253,$S$6:$S$305,"OK")&gt;$L253),"ALTO",IF(AND($F253&gt;0,$L253&lt;=$K253),"MÉDIO","BAIXO")))))</f>
        <v/>
      </c>
      <c r="Q253" s="25">
        <f>IF(COUNTA($A253:$B253,$E253:$G253,$R253)=0,"",IF($S253&lt;&gt;"OK","REVISAR",IF($O253="SEM AÇÃO","BAIXA",IF(OR($P253="ALTO",ABS($N253)&gt;='Configurações'!$B$3),"URGENTE",IF(OR($P253="MÉDIO",'Configurações'!$B$5-$R253&gt;'Configurações'!$B$4),"ALTA","NORMAL")))))</f>
        <v/>
      </c>
      <c r="R253" s="23" t="n"/>
      <c r="S253" s="25">
        <f>IF(COUNTA($A253:$B253,$E253:$G253,$R253)=0,"",IF($A253="","ID AUSENTE",IF(COUNTIF($A$6:$A$305,$A253)&gt;1,"ID DUPLICADO",IF($B253="","SKU AUSENTE",IF(COUNTIF('Estoque Central'!$A$6:$A$205,$B253)=0,"SKU NÃO CADASTRADO",IF(IFERROR(VLOOKUP($B253,'Estoque Central'!$A$6:$M$205,13,FALSE),"")&lt;&gt;"OK","ESTOQUE CENTRAL COM PENDÊNCIA",IF($E253="","CANAL AUSENTE",IF(COUNTIF('Configurações'!$A$11:$A$20,$E253)=0,"CANAL NÃO CONFIGURADO",IF(IFERROR(VLOOKUP($E253,'Configurações'!$A$11:$F$20,6,FALSE),"")&lt;&gt;"OK","CANAL COM PENDÊNCIA",IF(COUNTIFS($B$6:$B$305,$B253,$E$6:$E$305,$E253)&gt;1,"SKU/CANAL DUPLICADO",IF(IFERROR(OR(NOT(ISNUMBER($F253)),$F253&lt;0,MOD($F253,1)&lt;&gt;0),TRUE),"SALDO PUBLICADO INVÁLIDO",IF(IFERROR(OR(NOT(ISNUMBER($G253)),$G253&lt;0,MOD($G253,1)&lt;&gt;0),TRUE),"PEDIDOS PENDENTES INVÁLIDOS",IF(IFERROR(OR(NOT(ISNUMBER($R253)),$R253&gt;'Configurações'!$B$5),TRUE),"DATA INVÁLIDA","OK")))))))))))))</f>
        <v/>
      </c>
    </row>
    <row r="254">
      <c r="A254" s="21" t="n"/>
      <c r="B254" s="21" t="n"/>
      <c r="C254" s="27">
        <f>IFERROR(VLOOKUP($B254,'Estoque Central'!$A$6:$M$205,2,FALSE),"")</f>
        <v/>
      </c>
      <c r="D254" s="25">
        <f>IFERROR(VLOOKUP($B254,'Estoque Central'!$A$6:$M$205,3,FALSE),"")</f>
        <v/>
      </c>
      <c r="E254" s="21" t="n"/>
      <c r="F254" s="22" t="n"/>
      <c r="G254" s="22" t="n"/>
      <c r="H254" s="25">
        <f>IFERROR(VLOOKUP($E254,'Configurações'!$A$11:$F$20,2,FALSE),"")</f>
        <v/>
      </c>
      <c r="I254" s="28">
        <f>IFERROR(VLOOKUP($E254,'Configurações'!$A$11:$F$20,3,FALSE),"")</f>
        <v/>
      </c>
      <c r="J254" s="24">
        <f>IFERROR(VLOOKUP($E254,'Configurações'!$A$11:$F$20,4,FALSE),"")</f>
        <v/>
      </c>
      <c r="K254" s="24">
        <f>IFERROR(VLOOKUP($E254,'Configurações'!$A$11:$F$20,5,FALSE),"")</f>
        <v/>
      </c>
      <c r="L254" s="24">
        <f>IFERROR(VLOOKUP($B254,'Estoque Central'!$A$6:$M$205,9,FALSE),"")</f>
        <v/>
      </c>
      <c r="M254" s="24">
        <f>IF(COUNTA($A254:$B254,$E254:$G254,$R254)=0,"",IFERROR(IF(OR($C254="",$H254=""),"",IF(OR($D254&lt;&gt;"Ativo",$H254&lt;&gt;"Sim"),0,MIN(IF($J254="",$L254,$J254),ROUNDDOWN($L254*$I254,0)))),""))</f>
        <v/>
      </c>
      <c r="N254" s="24">
        <f>IF(OR($M254="",NOT(ISNUMBER($F254))),"",$M254-$F254)</f>
        <v/>
      </c>
      <c r="O254" s="25">
        <f>IF(COUNTA($A254:$B254,$E254:$G254,$R254)=0,"",IF($S254&lt;&gt;"OK","REVISAR CADASTRO",IF($N254&gt;0,"AUMENTAR",IF($N254&lt;0,"REDUZIR","SEM AÇÃO"))))</f>
        <v/>
      </c>
      <c r="P254" s="25">
        <f>IF(COUNTA($A254:$B254,$E254:$G254,$R254)=0,"",IF($S254&lt;&gt;"OK","REVISAR",IF(OR($D254&lt;&gt;"Ativo",$H254&lt;&gt;"Sim"),IF($F254&gt;0,"ALTO","SEM EXPOSIÇÃO"),IF(OR($F254&gt;$M254,SUMIFS($F$6:$F$305,$B$6:$B$305,$B254,$S$6:$S$305,"OK")&gt;$L254),"ALTO",IF(AND($F254&gt;0,$L254&lt;=$K254),"MÉDIO","BAIXO")))))</f>
        <v/>
      </c>
      <c r="Q254" s="25">
        <f>IF(COUNTA($A254:$B254,$E254:$G254,$R254)=0,"",IF($S254&lt;&gt;"OK","REVISAR",IF($O254="SEM AÇÃO","BAIXA",IF(OR($P254="ALTO",ABS($N254)&gt;='Configurações'!$B$3),"URGENTE",IF(OR($P254="MÉDIO",'Configurações'!$B$5-$R254&gt;'Configurações'!$B$4),"ALTA","NORMAL")))))</f>
        <v/>
      </c>
      <c r="R254" s="23" t="n"/>
      <c r="S254" s="25">
        <f>IF(COUNTA($A254:$B254,$E254:$G254,$R254)=0,"",IF($A254="","ID AUSENTE",IF(COUNTIF($A$6:$A$305,$A254)&gt;1,"ID DUPLICADO",IF($B254="","SKU AUSENTE",IF(COUNTIF('Estoque Central'!$A$6:$A$205,$B254)=0,"SKU NÃO CADASTRADO",IF(IFERROR(VLOOKUP($B254,'Estoque Central'!$A$6:$M$205,13,FALSE),"")&lt;&gt;"OK","ESTOQUE CENTRAL COM PENDÊNCIA",IF($E254="","CANAL AUSENTE",IF(COUNTIF('Configurações'!$A$11:$A$20,$E254)=0,"CANAL NÃO CONFIGURADO",IF(IFERROR(VLOOKUP($E254,'Configurações'!$A$11:$F$20,6,FALSE),"")&lt;&gt;"OK","CANAL COM PENDÊNCIA",IF(COUNTIFS($B$6:$B$305,$B254,$E$6:$E$305,$E254)&gt;1,"SKU/CANAL DUPLICADO",IF(IFERROR(OR(NOT(ISNUMBER($F254)),$F254&lt;0,MOD($F254,1)&lt;&gt;0),TRUE),"SALDO PUBLICADO INVÁLIDO",IF(IFERROR(OR(NOT(ISNUMBER($G254)),$G254&lt;0,MOD($G254,1)&lt;&gt;0),TRUE),"PEDIDOS PENDENTES INVÁLIDOS",IF(IFERROR(OR(NOT(ISNUMBER($R254)),$R254&gt;'Configurações'!$B$5),TRUE),"DATA INVÁLIDA","OK")))))))))))))</f>
        <v/>
      </c>
    </row>
    <row r="255">
      <c r="A255" s="21" t="n"/>
      <c r="B255" s="21" t="n"/>
      <c r="C255" s="27">
        <f>IFERROR(VLOOKUP($B255,'Estoque Central'!$A$6:$M$205,2,FALSE),"")</f>
        <v/>
      </c>
      <c r="D255" s="25">
        <f>IFERROR(VLOOKUP($B255,'Estoque Central'!$A$6:$M$205,3,FALSE),"")</f>
        <v/>
      </c>
      <c r="E255" s="21" t="n"/>
      <c r="F255" s="22" t="n"/>
      <c r="G255" s="22" t="n"/>
      <c r="H255" s="25">
        <f>IFERROR(VLOOKUP($E255,'Configurações'!$A$11:$F$20,2,FALSE),"")</f>
        <v/>
      </c>
      <c r="I255" s="28">
        <f>IFERROR(VLOOKUP($E255,'Configurações'!$A$11:$F$20,3,FALSE),"")</f>
        <v/>
      </c>
      <c r="J255" s="24">
        <f>IFERROR(VLOOKUP($E255,'Configurações'!$A$11:$F$20,4,FALSE),"")</f>
        <v/>
      </c>
      <c r="K255" s="24">
        <f>IFERROR(VLOOKUP($E255,'Configurações'!$A$11:$F$20,5,FALSE),"")</f>
        <v/>
      </c>
      <c r="L255" s="24">
        <f>IFERROR(VLOOKUP($B255,'Estoque Central'!$A$6:$M$205,9,FALSE),"")</f>
        <v/>
      </c>
      <c r="M255" s="24">
        <f>IF(COUNTA($A255:$B255,$E255:$G255,$R255)=0,"",IFERROR(IF(OR($C255="",$H255=""),"",IF(OR($D255&lt;&gt;"Ativo",$H255&lt;&gt;"Sim"),0,MIN(IF($J255="",$L255,$J255),ROUNDDOWN($L255*$I255,0)))),""))</f>
        <v/>
      </c>
      <c r="N255" s="24">
        <f>IF(OR($M255="",NOT(ISNUMBER($F255))),"",$M255-$F255)</f>
        <v/>
      </c>
      <c r="O255" s="25">
        <f>IF(COUNTA($A255:$B255,$E255:$G255,$R255)=0,"",IF($S255&lt;&gt;"OK","REVISAR CADASTRO",IF($N255&gt;0,"AUMENTAR",IF($N255&lt;0,"REDUZIR","SEM AÇÃO"))))</f>
        <v/>
      </c>
      <c r="P255" s="25">
        <f>IF(COUNTA($A255:$B255,$E255:$G255,$R255)=0,"",IF($S255&lt;&gt;"OK","REVISAR",IF(OR($D255&lt;&gt;"Ativo",$H255&lt;&gt;"Sim"),IF($F255&gt;0,"ALTO","SEM EXPOSIÇÃO"),IF(OR($F255&gt;$M255,SUMIFS($F$6:$F$305,$B$6:$B$305,$B255,$S$6:$S$305,"OK")&gt;$L255),"ALTO",IF(AND($F255&gt;0,$L255&lt;=$K255),"MÉDIO","BAIXO")))))</f>
        <v/>
      </c>
      <c r="Q255" s="25">
        <f>IF(COUNTA($A255:$B255,$E255:$G255,$R255)=0,"",IF($S255&lt;&gt;"OK","REVISAR",IF($O255="SEM AÇÃO","BAIXA",IF(OR($P255="ALTO",ABS($N255)&gt;='Configurações'!$B$3),"URGENTE",IF(OR($P255="MÉDIO",'Configurações'!$B$5-$R255&gt;'Configurações'!$B$4),"ALTA","NORMAL")))))</f>
        <v/>
      </c>
      <c r="R255" s="23" t="n"/>
      <c r="S255" s="25">
        <f>IF(COUNTA($A255:$B255,$E255:$G255,$R255)=0,"",IF($A255="","ID AUSENTE",IF(COUNTIF($A$6:$A$305,$A255)&gt;1,"ID DUPLICADO",IF($B255="","SKU AUSENTE",IF(COUNTIF('Estoque Central'!$A$6:$A$205,$B255)=0,"SKU NÃO CADASTRADO",IF(IFERROR(VLOOKUP($B255,'Estoque Central'!$A$6:$M$205,13,FALSE),"")&lt;&gt;"OK","ESTOQUE CENTRAL COM PENDÊNCIA",IF($E255="","CANAL AUSENTE",IF(COUNTIF('Configurações'!$A$11:$A$20,$E255)=0,"CANAL NÃO CONFIGURADO",IF(IFERROR(VLOOKUP($E255,'Configurações'!$A$11:$F$20,6,FALSE),"")&lt;&gt;"OK","CANAL COM PENDÊNCIA",IF(COUNTIFS($B$6:$B$305,$B255,$E$6:$E$305,$E255)&gt;1,"SKU/CANAL DUPLICADO",IF(IFERROR(OR(NOT(ISNUMBER($F255)),$F255&lt;0,MOD($F255,1)&lt;&gt;0),TRUE),"SALDO PUBLICADO INVÁLIDO",IF(IFERROR(OR(NOT(ISNUMBER($G255)),$G255&lt;0,MOD($G255,1)&lt;&gt;0),TRUE),"PEDIDOS PENDENTES INVÁLIDOS",IF(IFERROR(OR(NOT(ISNUMBER($R255)),$R255&gt;'Configurações'!$B$5),TRUE),"DATA INVÁLIDA","OK")))))))))))))</f>
        <v/>
      </c>
    </row>
    <row r="256">
      <c r="A256" s="21" t="n"/>
      <c r="B256" s="21" t="n"/>
      <c r="C256" s="27">
        <f>IFERROR(VLOOKUP($B256,'Estoque Central'!$A$6:$M$205,2,FALSE),"")</f>
        <v/>
      </c>
      <c r="D256" s="25">
        <f>IFERROR(VLOOKUP($B256,'Estoque Central'!$A$6:$M$205,3,FALSE),"")</f>
        <v/>
      </c>
      <c r="E256" s="21" t="n"/>
      <c r="F256" s="22" t="n"/>
      <c r="G256" s="22" t="n"/>
      <c r="H256" s="25">
        <f>IFERROR(VLOOKUP($E256,'Configurações'!$A$11:$F$20,2,FALSE),"")</f>
        <v/>
      </c>
      <c r="I256" s="28">
        <f>IFERROR(VLOOKUP($E256,'Configurações'!$A$11:$F$20,3,FALSE),"")</f>
        <v/>
      </c>
      <c r="J256" s="24">
        <f>IFERROR(VLOOKUP($E256,'Configurações'!$A$11:$F$20,4,FALSE),"")</f>
        <v/>
      </c>
      <c r="K256" s="24">
        <f>IFERROR(VLOOKUP($E256,'Configurações'!$A$11:$F$20,5,FALSE),"")</f>
        <v/>
      </c>
      <c r="L256" s="24">
        <f>IFERROR(VLOOKUP($B256,'Estoque Central'!$A$6:$M$205,9,FALSE),"")</f>
        <v/>
      </c>
      <c r="M256" s="24">
        <f>IF(COUNTA($A256:$B256,$E256:$G256,$R256)=0,"",IFERROR(IF(OR($C256="",$H256=""),"",IF(OR($D256&lt;&gt;"Ativo",$H256&lt;&gt;"Sim"),0,MIN(IF($J256="",$L256,$J256),ROUNDDOWN($L256*$I256,0)))),""))</f>
        <v/>
      </c>
      <c r="N256" s="24">
        <f>IF(OR($M256="",NOT(ISNUMBER($F256))),"",$M256-$F256)</f>
        <v/>
      </c>
      <c r="O256" s="25">
        <f>IF(COUNTA($A256:$B256,$E256:$G256,$R256)=0,"",IF($S256&lt;&gt;"OK","REVISAR CADASTRO",IF($N256&gt;0,"AUMENTAR",IF($N256&lt;0,"REDUZIR","SEM AÇÃO"))))</f>
        <v/>
      </c>
      <c r="P256" s="25">
        <f>IF(COUNTA($A256:$B256,$E256:$G256,$R256)=0,"",IF($S256&lt;&gt;"OK","REVISAR",IF(OR($D256&lt;&gt;"Ativo",$H256&lt;&gt;"Sim"),IF($F256&gt;0,"ALTO","SEM EXPOSIÇÃO"),IF(OR($F256&gt;$M256,SUMIFS($F$6:$F$305,$B$6:$B$305,$B256,$S$6:$S$305,"OK")&gt;$L256),"ALTO",IF(AND($F256&gt;0,$L256&lt;=$K256),"MÉDIO","BAIXO")))))</f>
        <v/>
      </c>
      <c r="Q256" s="25">
        <f>IF(COUNTA($A256:$B256,$E256:$G256,$R256)=0,"",IF($S256&lt;&gt;"OK","REVISAR",IF($O256="SEM AÇÃO","BAIXA",IF(OR($P256="ALTO",ABS($N256)&gt;='Configurações'!$B$3),"URGENTE",IF(OR($P256="MÉDIO",'Configurações'!$B$5-$R256&gt;'Configurações'!$B$4),"ALTA","NORMAL")))))</f>
        <v/>
      </c>
      <c r="R256" s="23" t="n"/>
      <c r="S256" s="25">
        <f>IF(COUNTA($A256:$B256,$E256:$G256,$R256)=0,"",IF($A256="","ID AUSENTE",IF(COUNTIF($A$6:$A$305,$A256)&gt;1,"ID DUPLICADO",IF($B256="","SKU AUSENTE",IF(COUNTIF('Estoque Central'!$A$6:$A$205,$B256)=0,"SKU NÃO CADASTRADO",IF(IFERROR(VLOOKUP($B256,'Estoque Central'!$A$6:$M$205,13,FALSE),"")&lt;&gt;"OK","ESTOQUE CENTRAL COM PENDÊNCIA",IF($E256="","CANAL AUSENTE",IF(COUNTIF('Configurações'!$A$11:$A$20,$E256)=0,"CANAL NÃO CONFIGURADO",IF(IFERROR(VLOOKUP($E256,'Configurações'!$A$11:$F$20,6,FALSE),"")&lt;&gt;"OK","CANAL COM PENDÊNCIA",IF(COUNTIFS($B$6:$B$305,$B256,$E$6:$E$305,$E256)&gt;1,"SKU/CANAL DUPLICADO",IF(IFERROR(OR(NOT(ISNUMBER($F256)),$F256&lt;0,MOD($F256,1)&lt;&gt;0),TRUE),"SALDO PUBLICADO INVÁLIDO",IF(IFERROR(OR(NOT(ISNUMBER($G256)),$G256&lt;0,MOD($G256,1)&lt;&gt;0),TRUE),"PEDIDOS PENDENTES INVÁLIDOS",IF(IFERROR(OR(NOT(ISNUMBER($R256)),$R256&gt;'Configurações'!$B$5),TRUE),"DATA INVÁLIDA","OK")))))))))))))</f>
        <v/>
      </c>
    </row>
    <row r="257">
      <c r="A257" s="21" t="n"/>
      <c r="B257" s="21" t="n"/>
      <c r="C257" s="27">
        <f>IFERROR(VLOOKUP($B257,'Estoque Central'!$A$6:$M$205,2,FALSE),"")</f>
        <v/>
      </c>
      <c r="D257" s="25">
        <f>IFERROR(VLOOKUP($B257,'Estoque Central'!$A$6:$M$205,3,FALSE),"")</f>
        <v/>
      </c>
      <c r="E257" s="21" t="n"/>
      <c r="F257" s="22" t="n"/>
      <c r="G257" s="22" t="n"/>
      <c r="H257" s="25">
        <f>IFERROR(VLOOKUP($E257,'Configurações'!$A$11:$F$20,2,FALSE),"")</f>
        <v/>
      </c>
      <c r="I257" s="28">
        <f>IFERROR(VLOOKUP($E257,'Configurações'!$A$11:$F$20,3,FALSE),"")</f>
        <v/>
      </c>
      <c r="J257" s="24">
        <f>IFERROR(VLOOKUP($E257,'Configurações'!$A$11:$F$20,4,FALSE),"")</f>
        <v/>
      </c>
      <c r="K257" s="24">
        <f>IFERROR(VLOOKUP($E257,'Configurações'!$A$11:$F$20,5,FALSE),"")</f>
        <v/>
      </c>
      <c r="L257" s="24">
        <f>IFERROR(VLOOKUP($B257,'Estoque Central'!$A$6:$M$205,9,FALSE),"")</f>
        <v/>
      </c>
      <c r="M257" s="24">
        <f>IF(COUNTA($A257:$B257,$E257:$G257,$R257)=0,"",IFERROR(IF(OR($C257="",$H257=""),"",IF(OR($D257&lt;&gt;"Ativo",$H257&lt;&gt;"Sim"),0,MIN(IF($J257="",$L257,$J257),ROUNDDOWN($L257*$I257,0)))),""))</f>
        <v/>
      </c>
      <c r="N257" s="24">
        <f>IF(OR($M257="",NOT(ISNUMBER($F257))),"",$M257-$F257)</f>
        <v/>
      </c>
      <c r="O257" s="25">
        <f>IF(COUNTA($A257:$B257,$E257:$G257,$R257)=0,"",IF($S257&lt;&gt;"OK","REVISAR CADASTRO",IF($N257&gt;0,"AUMENTAR",IF($N257&lt;0,"REDUZIR","SEM AÇÃO"))))</f>
        <v/>
      </c>
      <c r="P257" s="25">
        <f>IF(COUNTA($A257:$B257,$E257:$G257,$R257)=0,"",IF($S257&lt;&gt;"OK","REVISAR",IF(OR($D257&lt;&gt;"Ativo",$H257&lt;&gt;"Sim"),IF($F257&gt;0,"ALTO","SEM EXPOSIÇÃO"),IF(OR($F257&gt;$M257,SUMIFS($F$6:$F$305,$B$6:$B$305,$B257,$S$6:$S$305,"OK")&gt;$L257),"ALTO",IF(AND($F257&gt;0,$L257&lt;=$K257),"MÉDIO","BAIXO")))))</f>
        <v/>
      </c>
      <c r="Q257" s="25">
        <f>IF(COUNTA($A257:$B257,$E257:$G257,$R257)=0,"",IF($S257&lt;&gt;"OK","REVISAR",IF($O257="SEM AÇÃO","BAIXA",IF(OR($P257="ALTO",ABS($N257)&gt;='Configurações'!$B$3),"URGENTE",IF(OR($P257="MÉDIO",'Configurações'!$B$5-$R257&gt;'Configurações'!$B$4),"ALTA","NORMAL")))))</f>
        <v/>
      </c>
      <c r="R257" s="23" t="n"/>
      <c r="S257" s="25">
        <f>IF(COUNTA($A257:$B257,$E257:$G257,$R257)=0,"",IF($A257="","ID AUSENTE",IF(COUNTIF($A$6:$A$305,$A257)&gt;1,"ID DUPLICADO",IF($B257="","SKU AUSENTE",IF(COUNTIF('Estoque Central'!$A$6:$A$205,$B257)=0,"SKU NÃO CADASTRADO",IF(IFERROR(VLOOKUP($B257,'Estoque Central'!$A$6:$M$205,13,FALSE),"")&lt;&gt;"OK","ESTOQUE CENTRAL COM PENDÊNCIA",IF($E257="","CANAL AUSENTE",IF(COUNTIF('Configurações'!$A$11:$A$20,$E257)=0,"CANAL NÃO CONFIGURADO",IF(IFERROR(VLOOKUP($E257,'Configurações'!$A$11:$F$20,6,FALSE),"")&lt;&gt;"OK","CANAL COM PENDÊNCIA",IF(COUNTIFS($B$6:$B$305,$B257,$E$6:$E$305,$E257)&gt;1,"SKU/CANAL DUPLICADO",IF(IFERROR(OR(NOT(ISNUMBER($F257)),$F257&lt;0,MOD($F257,1)&lt;&gt;0),TRUE),"SALDO PUBLICADO INVÁLIDO",IF(IFERROR(OR(NOT(ISNUMBER($G257)),$G257&lt;0,MOD($G257,1)&lt;&gt;0),TRUE),"PEDIDOS PENDENTES INVÁLIDOS",IF(IFERROR(OR(NOT(ISNUMBER($R257)),$R257&gt;'Configurações'!$B$5),TRUE),"DATA INVÁLIDA","OK")))))))))))))</f>
        <v/>
      </c>
    </row>
    <row r="258">
      <c r="A258" s="21" t="n"/>
      <c r="B258" s="21" t="n"/>
      <c r="C258" s="27">
        <f>IFERROR(VLOOKUP($B258,'Estoque Central'!$A$6:$M$205,2,FALSE),"")</f>
        <v/>
      </c>
      <c r="D258" s="25">
        <f>IFERROR(VLOOKUP($B258,'Estoque Central'!$A$6:$M$205,3,FALSE),"")</f>
        <v/>
      </c>
      <c r="E258" s="21" t="n"/>
      <c r="F258" s="22" t="n"/>
      <c r="G258" s="22" t="n"/>
      <c r="H258" s="25">
        <f>IFERROR(VLOOKUP($E258,'Configurações'!$A$11:$F$20,2,FALSE),"")</f>
        <v/>
      </c>
      <c r="I258" s="28">
        <f>IFERROR(VLOOKUP($E258,'Configurações'!$A$11:$F$20,3,FALSE),"")</f>
        <v/>
      </c>
      <c r="J258" s="24">
        <f>IFERROR(VLOOKUP($E258,'Configurações'!$A$11:$F$20,4,FALSE),"")</f>
        <v/>
      </c>
      <c r="K258" s="24">
        <f>IFERROR(VLOOKUP($E258,'Configurações'!$A$11:$F$20,5,FALSE),"")</f>
        <v/>
      </c>
      <c r="L258" s="24">
        <f>IFERROR(VLOOKUP($B258,'Estoque Central'!$A$6:$M$205,9,FALSE),"")</f>
        <v/>
      </c>
      <c r="M258" s="24">
        <f>IF(COUNTA($A258:$B258,$E258:$G258,$R258)=0,"",IFERROR(IF(OR($C258="",$H258=""),"",IF(OR($D258&lt;&gt;"Ativo",$H258&lt;&gt;"Sim"),0,MIN(IF($J258="",$L258,$J258),ROUNDDOWN($L258*$I258,0)))),""))</f>
        <v/>
      </c>
      <c r="N258" s="24">
        <f>IF(OR($M258="",NOT(ISNUMBER($F258))),"",$M258-$F258)</f>
        <v/>
      </c>
      <c r="O258" s="25">
        <f>IF(COUNTA($A258:$B258,$E258:$G258,$R258)=0,"",IF($S258&lt;&gt;"OK","REVISAR CADASTRO",IF($N258&gt;0,"AUMENTAR",IF($N258&lt;0,"REDUZIR","SEM AÇÃO"))))</f>
        <v/>
      </c>
      <c r="P258" s="25">
        <f>IF(COUNTA($A258:$B258,$E258:$G258,$R258)=0,"",IF($S258&lt;&gt;"OK","REVISAR",IF(OR($D258&lt;&gt;"Ativo",$H258&lt;&gt;"Sim"),IF($F258&gt;0,"ALTO","SEM EXPOSIÇÃO"),IF(OR($F258&gt;$M258,SUMIFS($F$6:$F$305,$B$6:$B$305,$B258,$S$6:$S$305,"OK")&gt;$L258),"ALTO",IF(AND($F258&gt;0,$L258&lt;=$K258),"MÉDIO","BAIXO")))))</f>
        <v/>
      </c>
      <c r="Q258" s="25">
        <f>IF(COUNTA($A258:$B258,$E258:$G258,$R258)=0,"",IF($S258&lt;&gt;"OK","REVISAR",IF($O258="SEM AÇÃO","BAIXA",IF(OR($P258="ALTO",ABS($N258)&gt;='Configurações'!$B$3),"URGENTE",IF(OR($P258="MÉDIO",'Configurações'!$B$5-$R258&gt;'Configurações'!$B$4),"ALTA","NORMAL")))))</f>
        <v/>
      </c>
      <c r="R258" s="23" t="n"/>
      <c r="S258" s="25">
        <f>IF(COUNTA($A258:$B258,$E258:$G258,$R258)=0,"",IF($A258="","ID AUSENTE",IF(COUNTIF($A$6:$A$305,$A258)&gt;1,"ID DUPLICADO",IF($B258="","SKU AUSENTE",IF(COUNTIF('Estoque Central'!$A$6:$A$205,$B258)=0,"SKU NÃO CADASTRADO",IF(IFERROR(VLOOKUP($B258,'Estoque Central'!$A$6:$M$205,13,FALSE),"")&lt;&gt;"OK","ESTOQUE CENTRAL COM PENDÊNCIA",IF($E258="","CANAL AUSENTE",IF(COUNTIF('Configurações'!$A$11:$A$20,$E258)=0,"CANAL NÃO CONFIGURADO",IF(IFERROR(VLOOKUP($E258,'Configurações'!$A$11:$F$20,6,FALSE),"")&lt;&gt;"OK","CANAL COM PENDÊNCIA",IF(COUNTIFS($B$6:$B$305,$B258,$E$6:$E$305,$E258)&gt;1,"SKU/CANAL DUPLICADO",IF(IFERROR(OR(NOT(ISNUMBER($F258)),$F258&lt;0,MOD($F258,1)&lt;&gt;0),TRUE),"SALDO PUBLICADO INVÁLIDO",IF(IFERROR(OR(NOT(ISNUMBER($G258)),$G258&lt;0,MOD($G258,1)&lt;&gt;0),TRUE),"PEDIDOS PENDENTES INVÁLIDOS",IF(IFERROR(OR(NOT(ISNUMBER($R258)),$R258&gt;'Configurações'!$B$5),TRUE),"DATA INVÁLIDA","OK")))))))))))))</f>
        <v/>
      </c>
    </row>
    <row r="259">
      <c r="A259" s="21" t="n"/>
      <c r="B259" s="21" t="n"/>
      <c r="C259" s="27">
        <f>IFERROR(VLOOKUP($B259,'Estoque Central'!$A$6:$M$205,2,FALSE),"")</f>
        <v/>
      </c>
      <c r="D259" s="25">
        <f>IFERROR(VLOOKUP($B259,'Estoque Central'!$A$6:$M$205,3,FALSE),"")</f>
        <v/>
      </c>
      <c r="E259" s="21" t="n"/>
      <c r="F259" s="22" t="n"/>
      <c r="G259" s="22" t="n"/>
      <c r="H259" s="25">
        <f>IFERROR(VLOOKUP($E259,'Configurações'!$A$11:$F$20,2,FALSE),"")</f>
        <v/>
      </c>
      <c r="I259" s="28">
        <f>IFERROR(VLOOKUP($E259,'Configurações'!$A$11:$F$20,3,FALSE),"")</f>
        <v/>
      </c>
      <c r="J259" s="24">
        <f>IFERROR(VLOOKUP($E259,'Configurações'!$A$11:$F$20,4,FALSE),"")</f>
        <v/>
      </c>
      <c r="K259" s="24">
        <f>IFERROR(VLOOKUP($E259,'Configurações'!$A$11:$F$20,5,FALSE),"")</f>
        <v/>
      </c>
      <c r="L259" s="24">
        <f>IFERROR(VLOOKUP($B259,'Estoque Central'!$A$6:$M$205,9,FALSE),"")</f>
        <v/>
      </c>
      <c r="M259" s="24">
        <f>IF(COUNTA($A259:$B259,$E259:$G259,$R259)=0,"",IFERROR(IF(OR($C259="",$H259=""),"",IF(OR($D259&lt;&gt;"Ativo",$H259&lt;&gt;"Sim"),0,MIN(IF($J259="",$L259,$J259),ROUNDDOWN($L259*$I259,0)))),""))</f>
        <v/>
      </c>
      <c r="N259" s="24">
        <f>IF(OR($M259="",NOT(ISNUMBER($F259))),"",$M259-$F259)</f>
        <v/>
      </c>
      <c r="O259" s="25">
        <f>IF(COUNTA($A259:$B259,$E259:$G259,$R259)=0,"",IF($S259&lt;&gt;"OK","REVISAR CADASTRO",IF($N259&gt;0,"AUMENTAR",IF($N259&lt;0,"REDUZIR","SEM AÇÃO"))))</f>
        <v/>
      </c>
      <c r="P259" s="25">
        <f>IF(COUNTA($A259:$B259,$E259:$G259,$R259)=0,"",IF($S259&lt;&gt;"OK","REVISAR",IF(OR($D259&lt;&gt;"Ativo",$H259&lt;&gt;"Sim"),IF($F259&gt;0,"ALTO","SEM EXPOSIÇÃO"),IF(OR($F259&gt;$M259,SUMIFS($F$6:$F$305,$B$6:$B$305,$B259,$S$6:$S$305,"OK")&gt;$L259),"ALTO",IF(AND($F259&gt;0,$L259&lt;=$K259),"MÉDIO","BAIXO")))))</f>
        <v/>
      </c>
      <c r="Q259" s="25">
        <f>IF(COUNTA($A259:$B259,$E259:$G259,$R259)=0,"",IF($S259&lt;&gt;"OK","REVISAR",IF($O259="SEM AÇÃO","BAIXA",IF(OR($P259="ALTO",ABS($N259)&gt;='Configurações'!$B$3),"URGENTE",IF(OR($P259="MÉDIO",'Configurações'!$B$5-$R259&gt;'Configurações'!$B$4),"ALTA","NORMAL")))))</f>
        <v/>
      </c>
      <c r="R259" s="23" t="n"/>
      <c r="S259" s="25">
        <f>IF(COUNTA($A259:$B259,$E259:$G259,$R259)=0,"",IF($A259="","ID AUSENTE",IF(COUNTIF($A$6:$A$305,$A259)&gt;1,"ID DUPLICADO",IF($B259="","SKU AUSENTE",IF(COUNTIF('Estoque Central'!$A$6:$A$205,$B259)=0,"SKU NÃO CADASTRADO",IF(IFERROR(VLOOKUP($B259,'Estoque Central'!$A$6:$M$205,13,FALSE),"")&lt;&gt;"OK","ESTOQUE CENTRAL COM PENDÊNCIA",IF($E259="","CANAL AUSENTE",IF(COUNTIF('Configurações'!$A$11:$A$20,$E259)=0,"CANAL NÃO CONFIGURADO",IF(IFERROR(VLOOKUP($E259,'Configurações'!$A$11:$F$20,6,FALSE),"")&lt;&gt;"OK","CANAL COM PENDÊNCIA",IF(COUNTIFS($B$6:$B$305,$B259,$E$6:$E$305,$E259)&gt;1,"SKU/CANAL DUPLICADO",IF(IFERROR(OR(NOT(ISNUMBER($F259)),$F259&lt;0,MOD($F259,1)&lt;&gt;0),TRUE),"SALDO PUBLICADO INVÁLIDO",IF(IFERROR(OR(NOT(ISNUMBER($G259)),$G259&lt;0,MOD($G259,1)&lt;&gt;0),TRUE),"PEDIDOS PENDENTES INVÁLIDOS",IF(IFERROR(OR(NOT(ISNUMBER($R259)),$R259&gt;'Configurações'!$B$5),TRUE),"DATA INVÁLIDA","OK")))))))))))))</f>
        <v/>
      </c>
    </row>
    <row r="260">
      <c r="A260" s="21" t="n"/>
      <c r="B260" s="21" t="n"/>
      <c r="C260" s="27">
        <f>IFERROR(VLOOKUP($B260,'Estoque Central'!$A$6:$M$205,2,FALSE),"")</f>
        <v/>
      </c>
      <c r="D260" s="25">
        <f>IFERROR(VLOOKUP($B260,'Estoque Central'!$A$6:$M$205,3,FALSE),"")</f>
        <v/>
      </c>
      <c r="E260" s="21" t="n"/>
      <c r="F260" s="22" t="n"/>
      <c r="G260" s="22" t="n"/>
      <c r="H260" s="25">
        <f>IFERROR(VLOOKUP($E260,'Configurações'!$A$11:$F$20,2,FALSE),"")</f>
        <v/>
      </c>
      <c r="I260" s="28">
        <f>IFERROR(VLOOKUP($E260,'Configurações'!$A$11:$F$20,3,FALSE),"")</f>
        <v/>
      </c>
      <c r="J260" s="24">
        <f>IFERROR(VLOOKUP($E260,'Configurações'!$A$11:$F$20,4,FALSE),"")</f>
        <v/>
      </c>
      <c r="K260" s="24">
        <f>IFERROR(VLOOKUP($E260,'Configurações'!$A$11:$F$20,5,FALSE),"")</f>
        <v/>
      </c>
      <c r="L260" s="24">
        <f>IFERROR(VLOOKUP($B260,'Estoque Central'!$A$6:$M$205,9,FALSE),"")</f>
        <v/>
      </c>
      <c r="M260" s="24">
        <f>IF(COUNTA($A260:$B260,$E260:$G260,$R260)=0,"",IFERROR(IF(OR($C260="",$H260=""),"",IF(OR($D260&lt;&gt;"Ativo",$H260&lt;&gt;"Sim"),0,MIN(IF($J260="",$L260,$J260),ROUNDDOWN($L260*$I260,0)))),""))</f>
        <v/>
      </c>
      <c r="N260" s="24">
        <f>IF(OR($M260="",NOT(ISNUMBER($F260))),"",$M260-$F260)</f>
        <v/>
      </c>
      <c r="O260" s="25">
        <f>IF(COUNTA($A260:$B260,$E260:$G260,$R260)=0,"",IF($S260&lt;&gt;"OK","REVISAR CADASTRO",IF($N260&gt;0,"AUMENTAR",IF($N260&lt;0,"REDUZIR","SEM AÇÃO"))))</f>
        <v/>
      </c>
      <c r="P260" s="25">
        <f>IF(COUNTA($A260:$B260,$E260:$G260,$R260)=0,"",IF($S260&lt;&gt;"OK","REVISAR",IF(OR($D260&lt;&gt;"Ativo",$H260&lt;&gt;"Sim"),IF($F260&gt;0,"ALTO","SEM EXPOSIÇÃO"),IF(OR($F260&gt;$M260,SUMIFS($F$6:$F$305,$B$6:$B$305,$B260,$S$6:$S$305,"OK")&gt;$L260),"ALTO",IF(AND($F260&gt;0,$L260&lt;=$K260),"MÉDIO","BAIXO")))))</f>
        <v/>
      </c>
      <c r="Q260" s="25">
        <f>IF(COUNTA($A260:$B260,$E260:$G260,$R260)=0,"",IF($S260&lt;&gt;"OK","REVISAR",IF($O260="SEM AÇÃO","BAIXA",IF(OR($P260="ALTO",ABS($N260)&gt;='Configurações'!$B$3),"URGENTE",IF(OR($P260="MÉDIO",'Configurações'!$B$5-$R260&gt;'Configurações'!$B$4),"ALTA","NORMAL")))))</f>
        <v/>
      </c>
      <c r="R260" s="23" t="n"/>
      <c r="S260" s="25">
        <f>IF(COUNTA($A260:$B260,$E260:$G260,$R260)=0,"",IF($A260="","ID AUSENTE",IF(COUNTIF($A$6:$A$305,$A260)&gt;1,"ID DUPLICADO",IF($B260="","SKU AUSENTE",IF(COUNTIF('Estoque Central'!$A$6:$A$205,$B260)=0,"SKU NÃO CADASTRADO",IF(IFERROR(VLOOKUP($B260,'Estoque Central'!$A$6:$M$205,13,FALSE),"")&lt;&gt;"OK","ESTOQUE CENTRAL COM PENDÊNCIA",IF($E260="","CANAL AUSENTE",IF(COUNTIF('Configurações'!$A$11:$A$20,$E260)=0,"CANAL NÃO CONFIGURADO",IF(IFERROR(VLOOKUP($E260,'Configurações'!$A$11:$F$20,6,FALSE),"")&lt;&gt;"OK","CANAL COM PENDÊNCIA",IF(COUNTIFS($B$6:$B$305,$B260,$E$6:$E$305,$E260)&gt;1,"SKU/CANAL DUPLICADO",IF(IFERROR(OR(NOT(ISNUMBER($F260)),$F260&lt;0,MOD($F260,1)&lt;&gt;0),TRUE),"SALDO PUBLICADO INVÁLIDO",IF(IFERROR(OR(NOT(ISNUMBER($G260)),$G260&lt;0,MOD($G260,1)&lt;&gt;0),TRUE),"PEDIDOS PENDENTES INVÁLIDOS",IF(IFERROR(OR(NOT(ISNUMBER($R260)),$R260&gt;'Configurações'!$B$5),TRUE),"DATA INVÁLIDA","OK")))))))))))))</f>
        <v/>
      </c>
    </row>
    <row r="261">
      <c r="A261" s="21" t="n"/>
      <c r="B261" s="21" t="n"/>
      <c r="C261" s="27">
        <f>IFERROR(VLOOKUP($B261,'Estoque Central'!$A$6:$M$205,2,FALSE),"")</f>
        <v/>
      </c>
      <c r="D261" s="25">
        <f>IFERROR(VLOOKUP($B261,'Estoque Central'!$A$6:$M$205,3,FALSE),"")</f>
        <v/>
      </c>
      <c r="E261" s="21" t="n"/>
      <c r="F261" s="22" t="n"/>
      <c r="G261" s="22" t="n"/>
      <c r="H261" s="25">
        <f>IFERROR(VLOOKUP($E261,'Configurações'!$A$11:$F$20,2,FALSE),"")</f>
        <v/>
      </c>
      <c r="I261" s="28">
        <f>IFERROR(VLOOKUP($E261,'Configurações'!$A$11:$F$20,3,FALSE),"")</f>
        <v/>
      </c>
      <c r="J261" s="24">
        <f>IFERROR(VLOOKUP($E261,'Configurações'!$A$11:$F$20,4,FALSE),"")</f>
        <v/>
      </c>
      <c r="K261" s="24">
        <f>IFERROR(VLOOKUP($E261,'Configurações'!$A$11:$F$20,5,FALSE),"")</f>
        <v/>
      </c>
      <c r="L261" s="24">
        <f>IFERROR(VLOOKUP($B261,'Estoque Central'!$A$6:$M$205,9,FALSE),"")</f>
        <v/>
      </c>
      <c r="M261" s="24">
        <f>IF(COUNTA($A261:$B261,$E261:$G261,$R261)=0,"",IFERROR(IF(OR($C261="",$H261=""),"",IF(OR($D261&lt;&gt;"Ativo",$H261&lt;&gt;"Sim"),0,MIN(IF($J261="",$L261,$J261),ROUNDDOWN($L261*$I261,0)))),""))</f>
        <v/>
      </c>
      <c r="N261" s="24">
        <f>IF(OR($M261="",NOT(ISNUMBER($F261))),"",$M261-$F261)</f>
        <v/>
      </c>
      <c r="O261" s="25">
        <f>IF(COUNTA($A261:$B261,$E261:$G261,$R261)=0,"",IF($S261&lt;&gt;"OK","REVISAR CADASTRO",IF($N261&gt;0,"AUMENTAR",IF($N261&lt;0,"REDUZIR","SEM AÇÃO"))))</f>
        <v/>
      </c>
      <c r="P261" s="25">
        <f>IF(COUNTA($A261:$B261,$E261:$G261,$R261)=0,"",IF($S261&lt;&gt;"OK","REVISAR",IF(OR($D261&lt;&gt;"Ativo",$H261&lt;&gt;"Sim"),IF($F261&gt;0,"ALTO","SEM EXPOSIÇÃO"),IF(OR($F261&gt;$M261,SUMIFS($F$6:$F$305,$B$6:$B$305,$B261,$S$6:$S$305,"OK")&gt;$L261),"ALTO",IF(AND($F261&gt;0,$L261&lt;=$K261),"MÉDIO","BAIXO")))))</f>
        <v/>
      </c>
      <c r="Q261" s="25">
        <f>IF(COUNTA($A261:$B261,$E261:$G261,$R261)=0,"",IF($S261&lt;&gt;"OK","REVISAR",IF($O261="SEM AÇÃO","BAIXA",IF(OR($P261="ALTO",ABS($N261)&gt;='Configurações'!$B$3),"URGENTE",IF(OR($P261="MÉDIO",'Configurações'!$B$5-$R261&gt;'Configurações'!$B$4),"ALTA","NORMAL")))))</f>
        <v/>
      </c>
      <c r="R261" s="23" t="n"/>
      <c r="S261" s="25">
        <f>IF(COUNTA($A261:$B261,$E261:$G261,$R261)=0,"",IF($A261="","ID AUSENTE",IF(COUNTIF($A$6:$A$305,$A261)&gt;1,"ID DUPLICADO",IF($B261="","SKU AUSENTE",IF(COUNTIF('Estoque Central'!$A$6:$A$205,$B261)=0,"SKU NÃO CADASTRADO",IF(IFERROR(VLOOKUP($B261,'Estoque Central'!$A$6:$M$205,13,FALSE),"")&lt;&gt;"OK","ESTOQUE CENTRAL COM PENDÊNCIA",IF($E261="","CANAL AUSENTE",IF(COUNTIF('Configurações'!$A$11:$A$20,$E261)=0,"CANAL NÃO CONFIGURADO",IF(IFERROR(VLOOKUP($E261,'Configurações'!$A$11:$F$20,6,FALSE),"")&lt;&gt;"OK","CANAL COM PENDÊNCIA",IF(COUNTIFS($B$6:$B$305,$B261,$E$6:$E$305,$E261)&gt;1,"SKU/CANAL DUPLICADO",IF(IFERROR(OR(NOT(ISNUMBER($F261)),$F261&lt;0,MOD($F261,1)&lt;&gt;0),TRUE),"SALDO PUBLICADO INVÁLIDO",IF(IFERROR(OR(NOT(ISNUMBER($G261)),$G261&lt;0,MOD($G261,1)&lt;&gt;0),TRUE),"PEDIDOS PENDENTES INVÁLIDOS",IF(IFERROR(OR(NOT(ISNUMBER($R261)),$R261&gt;'Configurações'!$B$5),TRUE),"DATA INVÁLIDA","OK")))))))))))))</f>
        <v/>
      </c>
    </row>
    <row r="262">
      <c r="A262" s="21" t="n"/>
      <c r="B262" s="21" t="n"/>
      <c r="C262" s="27">
        <f>IFERROR(VLOOKUP($B262,'Estoque Central'!$A$6:$M$205,2,FALSE),"")</f>
        <v/>
      </c>
      <c r="D262" s="25">
        <f>IFERROR(VLOOKUP($B262,'Estoque Central'!$A$6:$M$205,3,FALSE),"")</f>
        <v/>
      </c>
      <c r="E262" s="21" t="n"/>
      <c r="F262" s="22" t="n"/>
      <c r="G262" s="22" t="n"/>
      <c r="H262" s="25">
        <f>IFERROR(VLOOKUP($E262,'Configurações'!$A$11:$F$20,2,FALSE),"")</f>
        <v/>
      </c>
      <c r="I262" s="28">
        <f>IFERROR(VLOOKUP($E262,'Configurações'!$A$11:$F$20,3,FALSE),"")</f>
        <v/>
      </c>
      <c r="J262" s="24">
        <f>IFERROR(VLOOKUP($E262,'Configurações'!$A$11:$F$20,4,FALSE),"")</f>
        <v/>
      </c>
      <c r="K262" s="24">
        <f>IFERROR(VLOOKUP($E262,'Configurações'!$A$11:$F$20,5,FALSE),"")</f>
        <v/>
      </c>
      <c r="L262" s="24">
        <f>IFERROR(VLOOKUP($B262,'Estoque Central'!$A$6:$M$205,9,FALSE),"")</f>
        <v/>
      </c>
      <c r="M262" s="24">
        <f>IF(COUNTA($A262:$B262,$E262:$G262,$R262)=0,"",IFERROR(IF(OR($C262="",$H262=""),"",IF(OR($D262&lt;&gt;"Ativo",$H262&lt;&gt;"Sim"),0,MIN(IF($J262="",$L262,$J262),ROUNDDOWN($L262*$I262,0)))),""))</f>
        <v/>
      </c>
      <c r="N262" s="24">
        <f>IF(OR($M262="",NOT(ISNUMBER($F262))),"",$M262-$F262)</f>
        <v/>
      </c>
      <c r="O262" s="25">
        <f>IF(COUNTA($A262:$B262,$E262:$G262,$R262)=0,"",IF($S262&lt;&gt;"OK","REVISAR CADASTRO",IF($N262&gt;0,"AUMENTAR",IF($N262&lt;0,"REDUZIR","SEM AÇÃO"))))</f>
        <v/>
      </c>
      <c r="P262" s="25">
        <f>IF(COUNTA($A262:$B262,$E262:$G262,$R262)=0,"",IF($S262&lt;&gt;"OK","REVISAR",IF(OR($D262&lt;&gt;"Ativo",$H262&lt;&gt;"Sim"),IF($F262&gt;0,"ALTO","SEM EXPOSIÇÃO"),IF(OR($F262&gt;$M262,SUMIFS($F$6:$F$305,$B$6:$B$305,$B262,$S$6:$S$305,"OK")&gt;$L262),"ALTO",IF(AND($F262&gt;0,$L262&lt;=$K262),"MÉDIO","BAIXO")))))</f>
        <v/>
      </c>
      <c r="Q262" s="25">
        <f>IF(COUNTA($A262:$B262,$E262:$G262,$R262)=0,"",IF($S262&lt;&gt;"OK","REVISAR",IF($O262="SEM AÇÃO","BAIXA",IF(OR($P262="ALTO",ABS($N262)&gt;='Configurações'!$B$3),"URGENTE",IF(OR($P262="MÉDIO",'Configurações'!$B$5-$R262&gt;'Configurações'!$B$4),"ALTA","NORMAL")))))</f>
        <v/>
      </c>
      <c r="R262" s="23" t="n"/>
      <c r="S262" s="25">
        <f>IF(COUNTA($A262:$B262,$E262:$G262,$R262)=0,"",IF($A262="","ID AUSENTE",IF(COUNTIF($A$6:$A$305,$A262)&gt;1,"ID DUPLICADO",IF($B262="","SKU AUSENTE",IF(COUNTIF('Estoque Central'!$A$6:$A$205,$B262)=0,"SKU NÃO CADASTRADO",IF(IFERROR(VLOOKUP($B262,'Estoque Central'!$A$6:$M$205,13,FALSE),"")&lt;&gt;"OK","ESTOQUE CENTRAL COM PENDÊNCIA",IF($E262="","CANAL AUSENTE",IF(COUNTIF('Configurações'!$A$11:$A$20,$E262)=0,"CANAL NÃO CONFIGURADO",IF(IFERROR(VLOOKUP($E262,'Configurações'!$A$11:$F$20,6,FALSE),"")&lt;&gt;"OK","CANAL COM PENDÊNCIA",IF(COUNTIFS($B$6:$B$305,$B262,$E$6:$E$305,$E262)&gt;1,"SKU/CANAL DUPLICADO",IF(IFERROR(OR(NOT(ISNUMBER($F262)),$F262&lt;0,MOD($F262,1)&lt;&gt;0),TRUE),"SALDO PUBLICADO INVÁLIDO",IF(IFERROR(OR(NOT(ISNUMBER($G262)),$G262&lt;0,MOD($G262,1)&lt;&gt;0),TRUE),"PEDIDOS PENDENTES INVÁLIDOS",IF(IFERROR(OR(NOT(ISNUMBER($R262)),$R262&gt;'Configurações'!$B$5),TRUE),"DATA INVÁLIDA","OK")))))))))))))</f>
        <v/>
      </c>
    </row>
    <row r="263">
      <c r="A263" s="21" t="n"/>
      <c r="B263" s="21" t="n"/>
      <c r="C263" s="27">
        <f>IFERROR(VLOOKUP($B263,'Estoque Central'!$A$6:$M$205,2,FALSE),"")</f>
        <v/>
      </c>
      <c r="D263" s="25">
        <f>IFERROR(VLOOKUP($B263,'Estoque Central'!$A$6:$M$205,3,FALSE),"")</f>
        <v/>
      </c>
      <c r="E263" s="21" t="n"/>
      <c r="F263" s="22" t="n"/>
      <c r="G263" s="22" t="n"/>
      <c r="H263" s="25">
        <f>IFERROR(VLOOKUP($E263,'Configurações'!$A$11:$F$20,2,FALSE),"")</f>
        <v/>
      </c>
      <c r="I263" s="28">
        <f>IFERROR(VLOOKUP($E263,'Configurações'!$A$11:$F$20,3,FALSE),"")</f>
        <v/>
      </c>
      <c r="J263" s="24">
        <f>IFERROR(VLOOKUP($E263,'Configurações'!$A$11:$F$20,4,FALSE),"")</f>
        <v/>
      </c>
      <c r="K263" s="24">
        <f>IFERROR(VLOOKUP($E263,'Configurações'!$A$11:$F$20,5,FALSE),"")</f>
        <v/>
      </c>
      <c r="L263" s="24">
        <f>IFERROR(VLOOKUP($B263,'Estoque Central'!$A$6:$M$205,9,FALSE),"")</f>
        <v/>
      </c>
      <c r="M263" s="24">
        <f>IF(COUNTA($A263:$B263,$E263:$G263,$R263)=0,"",IFERROR(IF(OR($C263="",$H263=""),"",IF(OR($D263&lt;&gt;"Ativo",$H263&lt;&gt;"Sim"),0,MIN(IF($J263="",$L263,$J263),ROUNDDOWN($L263*$I263,0)))),""))</f>
        <v/>
      </c>
      <c r="N263" s="24">
        <f>IF(OR($M263="",NOT(ISNUMBER($F263))),"",$M263-$F263)</f>
        <v/>
      </c>
      <c r="O263" s="25">
        <f>IF(COUNTA($A263:$B263,$E263:$G263,$R263)=0,"",IF($S263&lt;&gt;"OK","REVISAR CADASTRO",IF($N263&gt;0,"AUMENTAR",IF($N263&lt;0,"REDUZIR","SEM AÇÃO"))))</f>
        <v/>
      </c>
      <c r="P263" s="25">
        <f>IF(COUNTA($A263:$B263,$E263:$G263,$R263)=0,"",IF($S263&lt;&gt;"OK","REVISAR",IF(OR($D263&lt;&gt;"Ativo",$H263&lt;&gt;"Sim"),IF($F263&gt;0,"ALTO","SEM EXPOSIÇÃO"),IF(OR($F263&gt;$M263,SUMIFS($F$6:$F$305,$B$6:$B$305,$B263,$S$6:$S$305,"OK")&gt;$L263),"ALTO",IF(AND($F263&gt;0,$L263&lt;=$K263),"MÉDIO","BAIXO")))))</f>
        <v/>
      </c>
      <c r="Q263" s="25">
        <f>IF(COUNTA($A263:$B263,$E263:$G263,$R263)=0,"",IF($S263&lt;&gt;"OK","REVISAR",IF($O263="SEM AÇÃO","BAIXA",IF(OR($P263="ALTO",ABS($N263)&gt;='Configurações'!$B$3),"URGENTE",IF(OR($P263="MÉDIO",'Configurações'!$B$5-$R263&gt;'Configurações'!$B$4),"ALTA","NORMAL")))))</f>
        <v/>
      </c>
      <c r="R263" s="23" t="n"/>
      <c r="S263" s="25">
        <f>IF(COUNTA($A263:$B263,$E263:$G263,$R263)=0,"",IF($A263="","ID AUSENTE",IF(COUNTIF($A$6:$A$305,$A263)&gt;1,"ID DUPLICADO",IF($B263="","SKU AUSENTE",IF(COUNTIF('Estoque Central'!$A$6:$A$205,$B263)=0,"SKU NÃO CADASTRADO",IF(IFERROR(VLOOKUP($B263,'Estoque Central'!$A$6:$M$205,13,FALSE),"")&lt;&gt;"OK","ESTOQUE CENTRAL COM PENDÊNCIA",IF($E263="","CANAL AUSENTE",IF(COUNTIF('Configurações'!$A$11:$A$20,$E263)=0,"CANAL NÃO CONFIGURADO",IF(IFERROR(VLOOKUP($E263,'Configurações'!$A$11:$F$20,6,FALSE),"")&lt;&gt;"OK","CANAL COM PENDÊNCIA",IF(COUNTIFS($B$6:$B$305,$B263,$E$6:$E$305,$E263)&gt;1,"SKU/CANAL DUPLICADO",IF(IFERROR(OR(NOT(ISNUMBER($F263)),$F263&lt;0,MOD($F263,1)&lt;&gt;0),TRUE),"SALDO PUBLICADO INVÁLIDO",IF(IFERROR(OR(NOT(ISNUMBER($G263)),$G263&lt;0,MOD($G263,1)&lt;&gt;0),TRUE),"PEDIDOS PENDENTES INVÁLIDOS",IF(IFERROR(OR(NOT(ISNUMBER($R263)),$R263&gt;'Configurações'!$B$5),TRUE),"DATA INVÁLIDA","OK")))))))))))))</f>
        <v/>
      </c>
    </row>
    <row r="264">
      <c r="A264" s="21" t="n"/>
      <c r="B264" s="21" t="n"/>
      <c r="C264" s="27">
        <f>IFERROR(VLOOKUP($B264,'Estoque Central'!$A$6:$M$205,2,FALSE),"")</f>
        <v/>
      </c>
      <c r="D264" s="25">
        <f>IFERROR(VLOOKUP($B264,'Estoque Central'!$A$6:$M$205,3,FALSE),"")</f>
        <v/>
      </c>
      <c r="E264" s="21" t="n"/>
      <c r="F264" s="22" t="n"/>
      <c r="G264" s="22" t="n"/>
      <c r="H264" s="25">
        <f>IFERROR(VLOOKUP($E264,'Configurações'!$A$11:$F$20,2,FALSE),"")</f>
        <v/>
      </c>
      <c r="I264" s="28">
        <f>IFERROR(VLOOKUP($E264,'Configurações'!$A$11:$F$20,3,FALSE),"")</f>
        <v/>
      </c>
      <c r="J264" s="24">
        <f>IFERROR(VLOOKUP($E264,'Configurações'!$A$11:$F$20,4,FALSE),"")</f>
        <v/>
      </c>
      <c r="K264" s="24">
        <f>IFERROR(VLOOKUP($E264,'Configurações'!$A$11:$F$20,5,FALSE),"")</f>
        <v/>
      </c>
      <c r="L264" s="24">
        <f>IFERROR(VLOOKUP($B264,'Estoque Central'!$A$6:$M$205,9,FALSE),"")</f>
        <v/>
      </c>
      <c r="M264" s="24">
        <f>IF(COUNTA($A264:$B264,$E264:$G264,$R264)=0,"",IFERROR(IF(OR($C264="",$H264=""),"",IF(OR($D264&lt;&gt;"Ativo",$H264&lt;&gt;"Sim"),0,MIN(IF($J264="",$L264,$J264),ROUNDDOWN($L264*$I264,0)))),""))</f>
        <v/>
      </c>
      <c r="N264" s="24">
        <f>IF(OR($M264="",NOT(ISNUMBER($F264))),"",$M264-$F264)</f>
        <v/>
      </c>
      <c r="O264" s="25">
        <f>IF(COUNTA($A264:$B264,$E264:$G264,$R264)=0,"",IF($S264&lt;&gt;"OK","REVISAR CADASTRO",IF($N264&gt;0,"AUMENTAR",IF($N264&lt;0,"REDUZIR","SEM AÇÃO"))))</f>
        <v/>
      </c>
      <c r="P264" s="25">
        <f>IF(COUNTA($A264:$B264,$E264:$G264,$R264)=0,"",IF($S264&lt;&gt;"OK","REVISAR",IF(OR($D264&lt;&gt;"Ativo",$H264&lt;&gt;"Sim"),IF($F264&gt;0,"ALTO","SEM EXPOSIÇÃO"),IF(OR($F264&gt;$M264,SUMIFS($F$6:$F$305,$B$6:$B$305,$B264,$S$6:$S$305,"OK")&gt;$L264),"ALTO",IF(AND($F264&gt;0,$L264&lt;=$K264),"MÉDIO","BAIXO")))))</f>
        <v/>
      </c>
      <c r="Q264" s="25">
        <f>IF(COUNTA($A264:$B264,$E264:$G264,$R264)=0,"",IF($S264&lt;&gt;"OK","REVISAR",IF($O264="SEM AÇÃO","BAIXA",IF(OR($P264="ALTO",ABS($N264)&gt;='Configurações'!$B$3),"URGENTE",IF(OR($P264="MÉDIO",'Configurações'!$B$5-$R264&gt;'Configurações'!$B$4),"ALTA","NORMAL")))))</f>
        <v/>
      </c>
      <c r="R264" s="23" t="n"/>
      <c r="S264" s="25">
        <f>IF(COUNTA($A264:$B264,$E264:$G264,$R264)=0,"",IF($A264="","ID AUSENTE",IF(COUNTIF($A$6:$A$305,$A264)&gt;1,"ID DUPLICADO",IF($B264="","SKU AUSENTE",IF(COUNTIF('Estoque Central'!$A$6:$A$205,$B264)=0,"SKU NÃO CADASTRADO",IF(IFERROR(VLOOKUP($B264,'Estoque Central'!$A$6:$M$205,13,FALSE),"")&lt;&gt;"OK","ESTOQUE CENTRAL COM PENDÊNCIA",IF($E264="","CANAL AUSENTE",IF(COUNTIF('Configurações'!$A$11:$A$20,$E264)=0,"CANAL NÃO CONFIGURADO",IF(IFERROR(VLOOKUP($E264,'Configurações'!$A$11:$F$20,6,FALSE),"")&lt;&gt;"OK","CANAL COM PENDÊNCIA",IF(COUNTIFS($B$6:$B$305,$B264,$E$6:$E$305,$E264)&gt;1,"SKU/CANAL DUPLICADO",IF(IFERROR(OR(NOT(ISNUMBER($F264)),$F264&lt;0,MOD($F264,1)&lt;&gt;0),TRUE),"SALDO PUBLICADO INVÁLIDO",IF(IFERROR(OR(NOT(ISNUMBER($G264)),$G264&lt;0,MOD($G264,1)&lt;&gt;0),TRUE),"PEDIDOS PENDENTES INVÁLIDOS",IF(IFERROR(OR(NOT(ISNUMBER($R264)),$R264&gt;'Configurações'!$B$5),TRUE),"DATA INVÁLIDA","OK")))))))))))))</f>
        <v/>
      </c>
    </row>
    <row r="265">
      <c r="A265" s="21" t="n"/>
      <c r="B265" s="21" t="n"/>
      <c r="C265" s="27">
        <f>IFERROR(VLOOKUP($B265,'Estoque Central'!$A$6:$M$205,2,FALSE),"")</f>
        <v/>
      </c>
      <c r="D265" s="25">
        <f>IFERROR(VLOOKUP($B265,'Estoque Central'!$A$6:$M$205,3,FALSE),"")</f>
        <v/>
      </c>
      <c r="E265" s="21" t="n"/>
      <c r="F265" s="22" t="n"/>
      <c r="G265" s="22" t="n"/>
      <c r="H265" s="25">
        <f>IFERROR(VLOOKUP($E265,'Configurações'!$A$11:$F$20,2,FALSE),"")</f>
        <v/>
      </c>
      <c r="I265" s="28">
        <f>IFERROR(VLOOKUP($E265,'Configurações'!$A$11:$F$20,3,FALSE),"")</f>
        <v/>
      </c>
      <c r="J265" s="24">
        <f>IFERROR(VLOOKUP($E265,'Configurações'!$A$11:$F$20,4,FALSE),"")</f>
        <v/>
      </c>
      <c r="K265" s="24">
        <f>IFERROR(VLOOKUP($E265,'Configurações'!$A$11:$F$20,5,FALSE),"")</f>
        <v/>
      </c>
      <c r="L265" s="24">
        <f>IFERROR(VLOOKUP($B265,'Estoque Central'!$A$6:$M$205,9,FALSE),"")</f>
        <v/>
      </c>
      <c r="M265" s="24">
        <f>IF(COUNTA($A265:$B265,$E265:$G265,$R265)=0,"",IFERROR(IF(OR($C265="",$H265=""),"",IF(OR($D265&lt;&gt;"Ativo",$H265&lt;&gt;"Sim"),0,MIN(IF($J265="",$L265,$J265),ROUNDDOWN($L265*$I265,0)))),""))</f>
        <v/>
      </c>
      <c r="N265" s="24">
        <f>IF(OR($M265="",NOT(ISNUMBER($F265))),"",$M265-$F265)</f>
        <v/>
      </c>
      <c r="O265" s="25">
        <f>IF(COUNTA($A265:$B265,$E265:$G265,$R265)=0,"",IF($S265&lt;&gt;"OK","REVISAR CADASTRO",IF($N265&gt;0,"AUMENTAR",IF($N265&lt;0,"REDUZIR","SEM AÇÃO"))))</f>
        <v/>
      </c>
      <c r="P265" s="25">
        <f>IF(COUNTA($A265:$B265,$E265:$G265,$R265)=0,"",IF($S265&lt;&gt;"OK","REVISAR",IF(OR($D265&lt;&gt;"Ativo",$H265&lt;&gt;"Sim"),IF($F265&gt;0,"ALTO","SEM EXPOSIÇÃO"),IF(OR($F265&gt;$M265,SUMIFS($F$6:$F$305,$B$6:$B$305,$B265,$S$6:$S$305,"OK")&gt;$L265),"ALTO",IF(AND($F265&gt;0,$L265&lt;=$K265),"MÉDIO","BAIXO")))))</f>
        <v/>
      </c>
      <c r="Q265" s="25">
        <f>IF(COUNTA($A265:$B265,$E265:$G265,$R265)=0,"",IF($S265&lt;&gt;"OK","REVISAR",IF($O265="SEM AÇÃO","BAIXA",IF(OR($P265="ALTO",ABS($N265)&gt;='Configurações'!$B$3),"URGENTE",IF(OR($P265="MÉDIO",'Configurações'!$B$5-$R265&gt;'Configurações'!$B$4),"ALTA","NORMAL")))))</f>
        <v/>
      </c>
      <c r="R265" s="23" t="n"/>
      <c r="S265" s="25">
        <f>IF(COUNTA($A265:$B265,$E265:$G265,$R265)=0,"",IF($A265="","ID AUSENTE",IF(COUNTIF($A$6:$A$305,$A265)&gt;1,"ID DUPLICADO",IF($B265="","SKU AUSENTE",IF(COUNTIF('Estoque Central'!$A$6:$A$205,$B265)=0,"SKU NÃO CADASTRADO",IF(IFERROR(VLOOKUP($B265,'Estoque Central'!$A$6:$M$205,13,FALSE),"")&lt;&gt;"OK","ESTOQUE CENTRAL COM PENDÊNCIA",IF($E265="","CANAL AUSENTE",IF(COUNTIF('Configurações'!$A$11:$A$20,$E265)=0,"CANAL NÃO CONFIGURADO",IF(IFERROR(VLOOKUP($E265,'Configurações'!$A$11:$F$20,6,FALSE),"")&lt;&gt;"OK","CANAL COM PENDÊNCIA",IF(COUNTIFS($B$6:$B$305,$B265,$E$6:$E$305,$E265)&gt;1,"SKU/CANAL DUPLICADO",IF(IFERROR(OR(NOT(ISNUMBER($F265)),$F265&lt;0,MOD($F265,1)&lt;&gt;0),TRUE),"SALDO PUBLICADO INVÁLIDO",IF(IFERROR(OR(NOT(ISNUMBER($G265)),$G265&lt;0,MOD($G265,1)&lt;&gt;0),TRUE),"PEDIDOS PENDENTES INVÁLIDOS",IF(IFERROR(OR(NOT(ISNUMBER($R265)),$R265&gt;'Configurações'!$B$5),TRUE),"DATA INVÁLIDA","OK")))))))))))))</f>
        <v/>
      </c>
    </row>
    <row r="266">
      <c r="A266" s="21" t="n"/>
      <c r="B266" s="21" t="n"/>
      <c r="C266" s="27">
        <f>IFERROR(VLOOKUP($B266,'Estoque Central'!$A$6:$M$205,2,FALSE),"")</f>
        <v/>
      </c>
      <c r="D266" s="25">
        <f>IFERROR(VLOOKUP($B266,'Estoque Central'!$A$6:$M$205,3,FALSE),"")</f>
        <v/>
      </c>
      <c r="E266" s="21" t="n"/>
      <c r="F266" s="22" t="n"/>
      <c r="G266" s="22" t="n"/>
      <c r="H266" s="25">
        <f>IFERROR(VLOOKUP($E266,'Configurações'!$A$11:$F$20,2,FALSE),"")</f>
        <v/>
      </c>
      <c r="I266" s="28">
        <f>IFERROR(VLOOKUP($E266,'Configurações'!$A$11:$F$20,3,FALSE),"")</f>
        <v/>
      </c>
      <c r="J266" s="24">
        <f>IFERROR(VLOOKUP($E266,'Configurações'!$A$11:$F$20,4,FALSE),"")</f>
        <v/>
      </c>
      <c r="K266" s="24">
        <f>IFERROR(VLOOKUP($E266,'Configurações'!$A$11:$F$20,5,FALSE),"")</f>
        <v/>
      </c>
      <c r="L266" s="24">
        <f>IFERROR(VLOOKUP($B266,'Estoque Central'!$A$6:$M$205,9,FALSE),"")</f>
        <v/>
      </c>
      <c r="M266" s="24">
        <f>IF(COUNTA($A266:$B266,$E266:$G266,$R266)=0,"",IFERROR(IF(OR($C266="",$H266=""),"",IF(OR($D266&lt;&gt;"Ativo",$H266&lt;&gt;"Sim"),0,MIN(IF($J266="",$L266,$J266),ROUNDDOWN($L266*$I266,0)))),""))</f>
        <v/>
      </c>
      <c r="N266" s="24">
        <f>IF(OR($M266="",NOT(ISNUMBER($F266))),"",$M266-$F266)</f>
        <v/>
      </c>
      <c r="O266" s="25">
        <f>IF(COUNTA($A266:$B266,$E266:$G266,$R266)=0,"",IF($S266&lt;&gt;"OK","REVISAR CADASTRO",IF($N266&gt;0,"AUMENTAR",IF($N266&lt;0,"REDUZIR","SEM AÇÃO"))))</f>
        <v/>
      </c>
      <c r="P266" s="25">
        <f>IF(COUNTA($A266:$B266,$E266:$G266,$R266)=0,"",IF($S266&lt;&gt;"OK","REVISAR",IF(OR($D266&lt;&gt;"Ativo",$H266&lt;&gt;"Sim"),IF($F266&gt;0,"ALTO","SEM EXPOSIÇÃO"),IF(OR($F266&gt;$M266,SUMIFS($F$6:$F$305,$B$6:$B$305,$B266,$S$6:$S$305,"OK")&gt;$L266),"ALTO",IF(AND($F266&gt;0,$L266&lt;=$K266),"MÉDIO","BAIXO")))))</f>
        <v/>
      </c>
      <c r="Q266" s="25">
        <f>IF(COUNTA($A266:$B266,$E266:$G266,$R266)=0,"",IF($S266&lt;&gt;"OK","REVISAR",IF($O266="SEM AÇÃO","BAIXA",IF(OR($P266="ALTO",ABS($N266)&gt;='Configurações'!$B$3),"URGENTE",IF(OR($P266="MÉDIO",'Configurações'!$B$5-$R266&gt;'Configurações'!$B$4),"ALTA","NORMAL")))))</f>
        <v/>
      </c>
      <c r="R266" s="23" t="n"/>
      <c r="S266" s="25">
        <f>IF(COUNTA($A266:$B266,$E266:$G266,$R266)=0,"",IF($A266="","ID AUSENTE",IF(COUNTIF($A$6:$A$305,$A266)&gt;1,"ID DUPLICADO",IF($B266="","SKU AUSENTE",IF(COUNTIF('Estoque Central'!$A$6:$A$205,$B266)=0,"SKU NÃO CADASTRADO",IF(IFERROR(VLOOKUP($B266,'Estoque Central'!$A$6:$M$205,13,FALSE),"")&lt;&gt;"OK","ESTOQUE CENTRAL COM PENDÊNCIA",IF($E266="","CANAL AUSENTE",IF(COUNTIF('Configurações'!$A$11:$A$20,$E266)=0,"CANAL NÃO CONFIGURADO",IF(IFERROR(VLOOKUP($E266,'Configurações'!$A$11:$F$20,6,FALSE),"")&lt;&gt;"OK","CANAL COM PENDÊNCIA",IF(COUNTIFS($B$6:$B$305,$B266,$E$6:$E$305,$E266)&gt;1,"SKU/CANAL DUPLICADO",IF(IFERROR(OR(NOT(ISNUMBER($F266)),$F266&lt;0,MOD($F266,1)&lt;&gt;0),TRUE),"SALDO PUBLICADO INVÁLIDO",IF(IFERROR(OR(NOT(ISNUMBER($G266)),$G266&lt;0,MOD($G266,1)&lt;&gt;0),TRUE),"PEDIDOS PENDENTES INVÁLIDOS",IF(IFERROR(OR(NOT(ISNUMBER($R266)),$R266&gt;'Configurações'!$B$5),TRUE),"DATA INVÁLIDA","OK")))))))))))))</f>
        <v/>
      </c>
    </row>
    <row r="267">
      <c r="A267" s="21" t="n"/>
      <c r="B267" s="21" t="n"/>
      <c r="C267" s="27">
        <f>IFERROR(VLOOKUP($B267,'Estoque Central'!$A$6:$M$205,2,FALSE),"")</f>
        <v/>
      </c>
      <c r="D267" s="25">
        <f>IFERROR(VLOOKUP($B267,'Estoque Central'!$A$6:$M$205,3,FALSE),"")</f>
        <v/>
      </c>
      <c r="E267" s="21" t="n"/>
      <c r="F267" s="22" t="n"/>
      <c r="G267" s="22" t="n"/>
      <c r="H267" s="25">
        <f>IFERROR(VLOOKUP($E267,'Configurações'!$A$11:$F$20,2,FALSE),"")</f>
        <v/>
      </c>
      <c r="I267" s="28">
        <f>IFERROR(VLOOKUP($E267,'Configurações'!$A$11:$F$20,3,FALSE),"")</f>
        <v/>
      </c>
      <c r="J267" s="24">
        <f>IFERROR(VLOOKUP($E267,'Configurações'!$A$11:$F$20,4,FALSE),"")</f>
        <v/>
      </c>
      <c r="K267" s="24">
        <f>IFERROR(VLOOKUP($E267,'Configurações'!$A$11:$F$20,5,FALSE),"")</f>
        <v/>
      </c>
      <c r="L267" s="24">
        <f>IFERROR(VLOOKUP($B267,'Estoque Central'!$A$6:$M$205,9,FALSE),"")</f>
        <v/>
      </c>
      <c r="M267" s="24">
        <f>IF(COUNTA($A267:$B267,$E267:$G267,$R267)=0,"",IFERROR(IF(OR($C267="",$H267=""),"",IF(OR($D267&lt;&gt;"Ativo",$H267&lt;&gt;"Sim"),0,MIN(IF($J267="",$L267,$J267),ROUNDDOWN($L267*$I267,0)))),""))</f>
        <v/>
      </c>
      <c r="N267" s="24">
        <f>IF(OR($M267="",NOT(ISNUMBER($F267))),"",$M267-$F267)</f>
        <v/>
      </c>
      <c r="O267" s="25">
        <f>IF(COUNTA($A267:$B267,$E267:$G267,$R267)=0,"",IF($S267&lt;&gt;"OK","REVISAR CADASTRO",IF($N267&gt;0,"AUMENTAR",IF($N267&lt;0,"REDUZIR","SEM AÇÃO"))))</f>
        <v/>
      </c>
      <c r="P267" s="25">
        <f>IF(COUNTA($A267:$B267,$E267:$G267,$R267)=0,"",IF($S267&lt;&gt;"OK","REVISAR",IF(OR($D267&lt;&gt;"Ativo",$H267&lt;&gt;"Sim"),IF($F267&gt;0,"ALTO","SEM EXPOSIÇÃO"),IF(OR($F267&gt;$M267,SUMIFS($F$6:$F$305,$B$6:$B$305,$B267,$S$6:$S$305,"OK")&gt;$L267),"ALTO",IF(AND($F267&gt;0,$L267&lt;=$K267),"MÉDIO","BAIXO")))))</f>
        <v/>
      </c>
      <c r="Q267" s="25">
        <f>IF(COUNTA($A267:$B267,$E267:$G267,$R267)=0,"",IF($S267&lt;&gt;"OK","REVISAR",IF($O267="SEM AÇÃO","BAIXA",IF(OR($P267="ALTO",ABS($N267)&gt;='Configurações'!$B$3),"URGENTE",IF(OR($P267="MÉDIO",'Configurações'!$B$5-$R267&gt;'Configurações'!$B$4),"ALTA","NORMAL")))))</f>
        <v/>
      </c>
      <c r="R267" s="23" t="n"/>
      <c r="S267" s="25">
        <f>IF(COUNTA($A267:$B267,$E267:$G267,$R267)=0,"",IF($A267="","ID AUSENTE",IF(COUNTIF($A$6:$A$305,$A267)&gt;1,"ID DUPLICADO",IF($B267="","SKU AUSENTE",IF(COUNTIF('Estoque Central'!$A$6:$A$205,$B267)=0,"SKU NÃO CADASTRADO",IF(IFERROR(VLOOKUP($B267,'Estoque Central'!$A$6:$M$205,13,FALSE),"")&lt;&gt;"OK","ESTOQUE CENTRAL COM PENDÊNCIA",IF($E267="","CANAL AUSENTE",IF(COUNTIF('Configurações'!$A$11:$A$20,$E267)=0,"CANAL NÃO CONFIGURADO",IF(IFERROR(VLOOKUP($E267,'Configurações'!$A$11:$F$20,6,FALSE),"")&lt;&gt;"OK","CANAL COM PENDÊNCIA",IF(COUNTIFS($B$6:$B$305,$B267,$E$6:$E$305,$E267)&gt;1,"SKU/CANAL DUPLICADO",IF(IFERROR(OR(NOT(ISNUMBER($F267)),$F267&lt;0,MOD($F267,1)&lt;&gt;0),TRUE),"SALDO PUBLICADO INVÁLIDO",IF(IFERROR(OR(NOT(ISNUMBER($G267)),$G267&lt;0,MOD($G267,1)&lt;&gt;0),TRUE),"PEDIDOS PENDENTES INVÁLIDOS",IF(IFERROR(OR(NOT(ISNUMBER($R267)),$R267&gt;'Configurações'!$B$5),TRUE),"DATA INVÁLIDA","OK")))))))))))))</f>
        <v/>
      </c>
    </row>
    <row r="268">
      <c r="A268" s="21" t="n"/>
      <c r="B268" s="21" t="n"/>
      <c r="C268" s="27">
        <f>IFERROR(VLOOKUP($B268,'Estoque Central'!$A$6:$M$205,2,FALSE),"")</f>
        <v/>
      </c>
      <c r="D268" s="25">
        <f>IFERROR(VLOOKUP($B268,'Estoque Central'!$A$6:$M$205,3,FALSE),"")</f>
        <v/>
      </c>
      <c r="E268" s="21" t="n"/>
      <c r="F268" s="22" t="n"/>
      <c r="G268" s="22" t="n"/>
      <c r="H268" s="25">
        <f>IFERROR(VLOOKUP($E268,'Configurações'!$A$11:$F$20,2,FALSE),"")</f>
        <v/>
      </c>
      <c r="I268" s="28">
        <f>IFERROR(VLOOKUP($E268,'Configurações'!$A$11:$F$20,3,FALSE),"")</f>
        <v/>
      </c>
      <c r="J268" s="24">
        <f>IFERROR(VLOOKUP($E268,'Configurações'!$A$11:$F$20,4,FALSE),"")</f>
        <v/>
      </c>
      <c r="K268" s="24">
        <f>IFERROR(VLOOKUP($E268,'Configurações'!$A$11:$F$20,5,FALSE),"")</f>
        <v/>
      </c>
      <c r="L268" s="24">
        <f>IFERROR(VLOOKUP($B268,'Estoque Central'!$A$6:$M$205,9,FALSE),"")</f>
        <v/>
      </c>
      <c r="M268" s="24">
        <f>IF(COUNTA($A268:$B268,$E268:$G268,$R268)=0,"",IFERROR(IF(OR($C268="",$H268=""),"",IF(OR($D268&lt;&gt;"Ativo",$H268&lt;&gt;"Sim"),0,MIN(IF($J268="",$L268,$J268),ROUNDDOWN($L268*$I268,0)))),""))</f>
        <v/>
      </c>
      <c r="N268" s="24">
        <f>IF(OR($M268="",NOT(ISNUMBER($F268))),"",$M268-$F268)</f>
        <v/>
      </c>
      <c r="O268" s="25">
        <f>IF(COUNTA($A268:$B268,$E268:$G268,$R268)=0,"",IF($S268&lt;&gt;"OK","REVISAR CADASTRO",IF($N268&gt;0,"AUMENTAR",IF($N268&lt;0,"REDUZIR","SEM AÇÃO"))))</f>
        <v/>
      </c>
      <c r="P268" s="25">
        <f>IF(COUNTA($A268:$B268,$E268:$G268,$R268)=0,"",IF($S268&lt;&gt;"OK","REVISAR",IF(OR($D268&lt;&gt;"Ativo",$H268&lt;&gt;"Sim"),IF($F268&gt;0,"ALTO","SEM EXPOSIÇÃO"),IF(OR($F268&gt;$M268,SUMIFS($F$6:$F$305,$B$6:$B$305,$B268,$S$6:$S$305,"OK")&gt;$L268),"ALTO",IF(AND($F268&gt;0,$L268&lt;=$K268),"MÉDIO","BAIXO")))))</f>
        <v/>
      </c>
      <c r="Q268" s="25">
        <f>IF(COUNTA($A268:$B268,$E268:$G268,$R268)=0,"",IF($S268&lt;&gt;"OK","REVISAR",IF($O268="SEM AÇÃO","BAIXA",IF(OR($P268="ALTO",ABS($N268)&gt;='Configurações'!$B$3),"URGENTE",IF(OR($P268="MÉDIO",'Configurações'!$B$5-$R268&gt;'Configurações'!$B$4),"ALTA","NORMAL")))))</f>
        <v/>
      </c>
      <c r="R268" s="23" t="n"/>
      <c r="S268" s="25">
        <f>IF(COUNTA($A268:$B268,$E268:$G268,$R268)=0,"",IF($A268="","ID AUSENTE",IF(COUNTIF($A$6:$A$305,$A268)&gt;1,"ID DUPLICADO",IF($B268="","SKU AUSENTE",IF(COUNTIF('Estoque Central'!$A$6:$A$205,$B268)=0,"SKU NÃO CADASTRADO",IF(IFERROR(VLOOKUP($B268,'Estoque Central'!$A$6:$M$205,13,FALSE),"")&lt;&gt;"OK","ESTOQUE CENTRAL COM PENDÊNCIA",IF($E268="","CANAL AUSENTE",IF(COUNTIF('Configurações'!$A$11:$A$20,$E268)=0,"CANAL NÃO CONFIGURADO",IF(IFERROR(VLOOKUP($E268,'Configurações'!$A$11:$F$20,6,FALSE),"")&lt;&gt;"OK","CANAL COM PENDÊNCIA",IF(COUNTIFS($B$6:$B$305,$B268,$E$6:$E$305,$E268)&gt;1,"SKU/CANAL DUPLICADO",IF(IFERROR(OR(NOT(ISNUMBER($F268)),$F268&lt;0,MOD($F268,1)&lt;&gt;0),TRUE),"SALDO PUBLICADO INVÁLIDO",IF(IFERROR(OR(NOT(ISNUMBER($G268)),$G268&lt;0,MOD($G268,1)&lt;&gt;0),TRUE),"PEDIDOS PENDENTES INVÁLIDOS",IF(IFERROR(OR(NOT(ISNUMBER($R268)),$R268&gt;'Configurações'!$B$5),TRUE),"DATA INVÁLIDA","OK")))))))))))))</f>
        <v/>
      </c>
    </row>
    <row r="269">
      <c r="A269" s="21" t="n"/>
      <c r="B269" s="21" t="n"/>
      <c r="C269" s="27">
        <f>IFERROR(VLOOKUP($B269,'Estoque Central'!$A$6:$M$205,2,FALSE),"")</f>
        <v/>
      </c>
      <c r="D269" s="25">
        <f>IFERROR(VLOOKUP($B269,'Estoque Central'!$A$6:$M$205,3,FALSE),"")</f>
        <v/>
      </c>
      <c r="E269" s="21" t="n"/>
      <c r="F269" s="22" t="n"/>
      <c r="G269" s="22" t="n"/>
      <c r="H269" s="25">
        <f>IFERROR(VLOOKUP($E269,'Configurações'!$A$11:$F$20,2,FALSE),"")</f>
        <v/>
      </c>
      <c r="I269" s="28">
        <f>IFERROR(VLOOKUP($E269,'Configurações'!$A$11:$F$20,3,FALSE),"")</f>
        <v/>
      </c>
      <c r="J269" s="24">
        <f>IFERROR(VLOOKUP($E269,'Configurações'!$A$11:$F$20,4,FALSE),"")</f>
        <v/>
      </c>
      <c r="K269" s="24">
        <f>IFERROR(VLOOKUP($E269,'Configurações'!$A$11:$F$20,5,FALSE),"")</f>
        <v/>
      </c>
      <c r="L269" s="24">
        <f>IFERROR(VLOOKUP($B269,'Estoque Central'!$A$6:$M$205,9,FALSE),"")</f>
        <v/>
      </c>
      <c r="M269" s="24">
        <f>IF(COUNTA($A269:$B269,$E269:$G269,$R269)=0,"",IFERROR(IF(OR($C269="",$H269=""),"",IF(OR($D269&lt;&gt;"Ativo",$H269&lt;&gt;"Sim"),0,MIN(IF($J269="",$L269,$J269),ROUNDDOWN($L269*$I269,0)))),""))</f>
        <v/>
      </c>
      <c r="N269" s="24">
        <f>IF(OR($M269="",NOT(ISNUMBER($F269))),"",$M269-$F269)</f>
        <v/>
      </c>
      <c r="O269" s="25">
        <f>IF(COUNTA($A269:$B269,$E269:$G269,$R269)=0,"",IF($S269&lt;&gt;"OK","REVISAR CADASTRO",IF($N269&gt;0,"AUMENTAR",IF($N269&lt;0,"REDUZIR","SEM AÇÃO"))))</f>
        <v/>
      </c>
      <c r="P269" s="25">
        <f>IF(COUNTA($A269:$B269,$E269:$G269,$R269)=0,"",IF($S269&lt;&gt;"OK","REVISAR",IF(OR($D269&lt;&gt;"Ativo",$H269&lt;&gt;"Sim"),IF($F269&gt;0,"ALTO","SEM EXPOSIÇÃO"),IF(OR($F269&gt;$M269,SUMIFS($F$6:$F$305,$B$6:$B$305,$B269,$S$6:$S$305,"OK")&gt;$L269),"ALTO",IF(AND($F269&gt;0,$L269&lt;=$K269),"MÉDIO","BAIXO")))))</f>
        <v/>
      </c>
      <c r="Q269" s="25">
        <f>IF(COUNTA($A269:$B269,$E269:$G269,$R269)=0,"",IF($S269&lt;&gt;"OK","REVISAR",IF($O269="SEM AÇÃO","BAIXA",IF(OR($P269="ALTO",ABS($N269)&gt;='Configurações'!$B$3),"URGENTE",IF(OR($P269="MÉDIO",'Configurações'!$B$5-$R269&gt;'Configurações'!$B$4),"ALTA","NORMAL")))))</f>
        <v/>
      </c>
      <c r="R269" s="23" t="n"/>
      <c r="S269" s="25">
        <f>IF(COUNTA($A269:$B269,$E269:$G269,$R269)=0,"",IF($A269="","ID AUSENTE",IF(COUNTIF($A$6:$A$305,$A269)&gt;1,"ID DUPLICADO",IF($B269="","SKU AUSENTE",IF(COUNTIF('Estoque Central'!$A$6:$A$205,$B269)=0,"SKU NÃO CADASTRADO",IF(IFERROR(VLOOKUP($B269,'Estoque Central'!$A$6:$M$205,13,FALSE),"")&lt;&gt;"OK","ESTOQUE CENTRAL COM PENDÊNCIA",IF($E269="","CANAL AUSENTE",IF(COUNTIF('Configurações'!$A$11:$A$20,$E269)=0,"CANAL NÃO CONFIGURADO",IF(IFERROR(VLOOKUP($E269,'Configurações'!$A$11:$F$20,6,FALSE),"")&lt;&gt;"OK","CANAL COM PENDÊNCIA",IF(COUNTIFS($B$6:$B$305,$B269,$E$6:$E$305,$E269)&gt;1,"SKU/CANAL DUPLICADO",IF(IFERROR(OR(NOT(ISNUMBER($F269)),$F269&lt;0,MOD($F269,1)&lt;&gt;0),TRUE),"SALDO PUBLICADO INVÁLIDO",IF(IFERROR(OR(NOT(ISNUMBER($G269)),$G269&lt;0,MOD($G269,1)&lt;&gt;0),TRUE),"PEDIDOS PENDENTES INVÁLIDOS",IF(IFERROR(OR(NOT(ISNUMBER($R269)),$R269&gt;'Configurações'!$B$5),TRUE),"DATA INVÁLIDA","OK")))))))))))))</f>
        <v/>
      </c>
    </row>
    <row r="270">
      <c r="A270" s="21" t="n"/>
      <c r="B270" s="21" t="n"/>
      <c r="C270" s="27">
        <f>IFERROR(VLOOKUP($B270,'Estoque Central'!$A$6:$M$205,2,FALSE),"")</f>
        <v/>
      </c>
      <c r="D270" s="25">
        <f>IFERROR(VLOOKUP($B270,'Estoque Central'!$A$6:$M$205,3,FALSE),"")</f>
        <v/>
      </c>
      <c r="E270" s="21" t="n"/>
      <c r="F270" s="22" t="n"/>
      <c r="G270" s="22" t="n"/>
      <c r="H270" s="25">
        <f>IFERROR(VLOOKUP($E270,'Configurações'!$A$11:$F$20,2,FALSE),"")</f>
        <v/>
      </c>
      <c r="I270" s="28">
        <f>IFERROR(VLOOKUP($E270,'Configurações'!$A$11:$F$20,3,FALSE),"")</f>
        <v/>
      </c>
      <c r="J270" s="24">
        <f>IFERROR(VLOOKUP($E270,'Configurações'!$A$11:$F$20,4,FALSE),"")</f>
        <v/>
      </c>
      <c r="K270" s="24">
        <f>IFERROR(VLOOKUP($E270,'Configurações'!$A$11:$F$20,5,FALSE),"")</f>
        <v/>
      </c>
      <c r="L270" s="24">
        <f>IFERROR(VLOOKUP($B270,'Estoque Central'!$A$6:$M$205,9,FALSE),"")</f>
        <v/>
      </c>
      <c r="M270" s="24">
        <f>IF(COUNTA($A270:$B270,$E270:$G270,$R270)=0,"",IFERROR(IF(OR($C270="",$H270=""),"",IF(OR($D270&lt;&gt;"Ativo",$H270&lt;&gt;"Sim"),0,MIN(IF($J270="",$L270,$J270),ROUNDDOWN($L270*$I270,0)))),""))</f>
        <v/>
      </c>
      <c r="N270" s="24">
        <f>IF(OR($M270="",NOT(ISNUMBER($F270))),"",$M270-$F270)</f>
        <v/>
      </c>
      <c r="O270" s="25">
        <f>IF(COUNTA($A270:$B270,$E270:$G270,$R270)=0,"",IF($S270&lt;&gt;"OK","REVISAR CADASTRO",IF($N270&gt;0,"AUMENTAR",IF($N270&lt;0,"REDUZIR","SEM AÇÃO"))))</f>
        <v/>
      </c>
      <c r="P270" s="25">
        <f>IF(COUNTA($A270:$B270,$E270:$G270,$R270)=0,"",IF($S270&lt;&gt;"OK","REVISAR",IF(OR($D270&lt;&gt;"Ativo",$H270&lt;&gt;"Sim"),IF($F270&gt;0,"ALTO","SEM EXPOSIÇÃO"),IF(OR($F270&gt;$M270,SUMIFS($F$6:$F$305,$B$6:$B$305,$B270,$S$6:$S$305,"OK")&gt;$L270),"ALTO",IF(AND($F270&gt;0,$L270&lt;=$K270),"MÉDIO","BAIXO")))))</f>
        <v/>
      </c>
      <c r="Q270" s="25">
        <f>IF(COUNTA($A270:$B270,$E270:$G270,$R270)=0,"",IF($S270&lt;&gt;"OK","REVISAR",IF($O270="SEM AÇÃO","BAIXA",IF(OR($P270="ALTO",ABS($N270)&gt;='Configurações'!$B$3),"URGENTE",IF(OR($P270="MÉDIO",'Configurações'!$B$5-$R270&gt;'Configurações'!$B$4),"ALTA","NORMAL")))))</f>
        <v/>
      </c>
      <c r="R270" s="23" t="n"/>
      <c r="S270" s="25">
        <f>IF(COUNTA($A270:$B270,$E270:$G270,$R270)=0,"",IF($A270="","ID AUSENTE",IF(COUNTIF($A$6:$A$305,$A270)&gt;1,"ID DUPLICADO",IF($B270="","SKU AUSENTE",IF(COUNTIF('Estoque Central'!$A$6:$A$205,$B270)=0,"SKU NÃO CADASTRADO",IF(IFERROR(VLOOKUP($B270,'Estoque Central'!$A$6:$M$205,13,FALSE),"")&lt;&gt;"OK","ESTOQUE CENTRAL COM PENDÊNCIA",IF($E270="","CANAL AUSENTE",IF(COUNTIF('Configurações'!$A$11:$A$20,$E270)=0,"CANAL NÃO CONFIGURADO",IF(IFERROR(VLOOKUP($E270,'Configurações'!$A$11:$F$20,6,FALSE),"")&lt;&gt;"OK","CANAL COM PENDÊNCIA",IF(COUNTIFS($B$6:$B$305,$B270,$E$6:$E$305,$E270)&gt;1,"SKU/CANAL DUPLICADO",IF(IFERROR(OR(NOT(ISNUMBER($F270)),$F270&lt;0,MOD($F270,1)&lt;&gt;0),TRUE),"SALDO PUBLICADO INVÁLIDO",IF(IFERROR(OR(NOT(ISNUMBER($G270)),$G270&lt;0,MOD($G270,1)&lt;&gt;0),TRUE),"PEDIDOS PENDENTES INVÁLIDOS",IF(IFERROR(OR(NOT(ISNUMBER($R270)),$R270&gt;'Configurações'!$B$5),TRUE),"DATA INVÁLIDA","OK")))))))))))))</f>
        <v/>
      </c>
    </row>
    <row r="271">
      <c r="A271" s="21" t="n"/>
      <c r="B271" s="21" t="n"/>
      <c r="C271" s="27">
        <f>IFERROR(VLOOKUP($B271,'Estoque Central'!$A$6:$M$205,2,FALSE),"")</f>
        <v/>
      </c>
      <c r="D271" s="25">
        <f>IFERROR(VLOOKUP($B271,'Estoque Central'!$A$6:$M$205,3,FALSE),"")</f>
        <v/>
      </c>
      <c r="E271" s="21" t="n"/>
      <c r="F271" s="22" t="n"/>
      <c r="G271" s="22" t="n"/>
      <c r="H271" s="25">
        <f>IFERROR(VLOOKUP($E271,'Configurações'!$A$11:$F$20,2,FALSE),"")</f>
        <v/>
      </c>
      <c r="I271" s="28">
        <f>IFERROR(VLOOKUP($E271,'Configurações'!$A$11:$F$20,3,FALSE),"")</f>
        <v/>
      </c>
      <c r="J271" s="24">
        <f>IFERROR(VLOOKUP($E271,'Configurações'!$A$11:$F$20,4,FALSE),"")</f>
        <v/>
      </c>
      <c r="K271" s="24">
        <f>IFERROR(VLOOKUP($E271,'Configurações'!$A$11:$F$20,5,FALSE),"")</f>
        <v/>
      </c>
      <c r="L271" s="24">
        <f>IFERROR(VLOOKUP($B271,'Estoque Central'!$A$6:$M$205,9,FALSE),"")</f>
        <v/>
      </c>
      <c r="M271" s="24">
        <f>IF(COUNTA($A271:$B271,$E271:$G271,$R271)=0,"",IFERROR(IF(OR($C271="",$H271=""),"",IF(OR($D271&lt;&gt;"Ativo",$H271&lt;&gt;"Sim"),0,MIN(IF($J271="",$L271,$J271),ROUNDDOWN($L271*$I271,0)))),""))</f>
        <v/>
      </c>
      <c r="N271" s="24">
        <f>IF(OR($M271="",NOT(ISNUMBER($F271))),"",$M271-$F271)</f>
        <v/>
      </c>
      <c r="O271" s="25">
        <f>IF(COUNTA($A271:$B271,$E271:$G271,$R271)=0,"",IF($S271&lt;&gt;"OK","REVISAR CADASTRO",IF($N271&gt;0,"AUMENTAR",IF($N271&lt;0,"REDUZIR","SEM AÇÃO"))))</f>
        <v/>
      </c>
      <c r="P271" s="25">
        <f>IF(COUNTA($A271:$B271,$E271:$G271,$R271)=0,"",IF($S271&lt;&gt;"OK","REVISAR",IF(OR($D271&lt;&gt;"Ativo",$H271&lt;&gt;"Sim"),IF($F271&gt;0,"ALTO","SEM EXPOSIÇÃO"),IF(OR($F271&gt;$M271,SUMIFS($F$6:$F$305,$B$6:$B$305,$B271,$S$6:$S$305,"OK")&gt;$L271),"ALTO",IF(AND($F271&gt;0,$L271&lt;=$K271),"MÉDIO","BAIXO")))))</f>
        <v/>
      </c>
      <c r="Q271" s="25">
        <f>IF(COUNTA($A271:$B271,$E271:$G271,$R271)=0,"",IF($S271&lt;&gt;"OK","REVISAR",IF($O271="SEM AÇÃO","BAIXA",IF(OR($P271="ALTO",ABS($N271)&gt;='Configurações'!$B$3),"URGENTE",IF(OR($P271="MÉDIO",'Configurações'!$B$5-$R271&gt;'Configurações'!$B$4),"ALTA","NORMAL")))))</f>
        <v/>
      </c>
      <c r="R271" s="23" t="n"/>
      <c r="S271" s="25">
        <f>IF(COUNTA($A271:$B271,$E271:$G271,$R271)=0,"",IF($A271="","ID AUSENTE",IF(COUNTIF($A$6:$A$305,$A271)&gt;1,"ID DUPLICADO",IF($B271="","SKU AUSENTE",IF(COUNTIF('Estoque Central'!$A$6:$A$205,$B271)=0,"SKU NÃO CADASTRADO",IF(IFERROR(VLOOKUP($B271,'Estoque Central'!$A$6:$M$205,13,FALSE),"")&lt;&gt;"OK","ESTOQUE CENTRAL COM PENDÊNCIA",IF($E271="","CANAL AUSENTE",IF(COUNTIF('Configurações'!$A$11:$A$20,$E271)=0,"CANAL NÃO CONFIGURADO",IF(IFERROR(VLOOKUP($E271,'Configurações'!$A$11:$F$20,6,FALSE),"")&lt;&gt;"OK","CANAL COM PENDÊNCIA",IF(COUNTIFS($B$6:$B$305,$B271,$E$6:$E$305,$E271)&gt;1,"SKU/CANAL DUPLICADO",IF(IFERROR(OR(NOT(ISNUMBER($F271)),$F271&lt;0,MOD($F271,1)&lt;&gt;0),TRUE),"SALDO PUBLICADO INVÁLIDO",IF(IFERROR(OR(NOT(ISNUMBER($G271)),$G271&lt;0,MOD($G271,1)&lt;&gt;0),TRUE),"PEDIDOS PENDENTES INVÁLIDOS",IF(IFERROR(OR(NOT(ISNUMBER($R271)),$R271&gt;'Configurações'!$B$5),TRUE),"DATA INVÁLIDA","OK")))))))))))))</f>
        <v/>
      </c>
    </row>
    <row r="272">
      <c r="A272" s="21" t="n"/>
      <c r="B272" s="21" t="n"/>
      <c r="C272" s="27">
        <f>IFERROR(VLOOKUP($B272,'Estoque Central'!$A$6:$M$205,2,FALSE),"")</f>
        <v/>
      </c>
      <c r="D272" s="25">
        <f>IFERROR(VLOOKUP($B272,'Estoque Central'!$A$6:$M$205,3,FALSE),"")</f>
        <v/>
      </c>
      <c r="E272" s="21" t="n"/>
      <c r="F272" s="22" t="n"/>
      <c r="G272" s="22" t="n"/>
      <c r="H272" s="25">
        <f>IFERROR(VLOOKUP($E272,'Configurações'!$A$11:$F$20,2,FALSE),"")</f>
        <v/>
      </c>
      <c r="I272" s="28">
        <f>IFERROR(VLOOKUP($E272,'Configurações'!$A$11:$F$20,3,FALSE),"")</f>
        <v/>
      </c>
      <c r="J272" s="24">
        <f>IFERROR(VLOOKUP($E272,'Configurações'!$A$11:$F$20,4,FALSE),"")</f>
        <v/>
      </c>
      <c r="K272" s="24">
        <f>IFERROR(VLOOKUP($E272,'Configurações'!$A$11:$F$20,5,FALSE),"")</f>
        <v/>
      </c>
      <c r="L272" s="24">
        <f>IFERROR(VLOOKUP($B272,'Estoque Central'!$A$6:$M$205,9,FALSE),"")</f>
        <v/>
      </c>
      <c r="M272" s="24">
        <f>IF(COUNTA($A272:$B272,$E272:$G272,$R272)=0,"",IFERROR(IF(OR($C272="",$H272=""),"",IF(OR($D272&lt;&gt;"Ativo",$H272&lt;&gt;"Sim"),0,MIN(IF($J272="",$L272,$J272),ROUNDDOWN($L272*$I272,0)))),""))</f>
        <v/>
      </c>
      <c r="N272" s="24">
        <f>IF(OR($M272="",NOT(ISNUMBER($F272))),"",$M272-$F272)</f>
        <v/>
      </c>
      <c r="O272" s="25">
        <f>IF(COUNTA($A272:$B272,$E272:$G272,$R272)=0,"",IF($S272&lt;&gt;"OK","REVISAR CADASTRO",IF($N272&gt;0,"AUMENTAR",IF($N272&lt;0,"REDUZIR","SEM AÇÃO"))))</f>
        <v/>
      </c>
      <c r="P272" s="25">
        <f>IF(COUNTA($A272:$B272,$E272:$G272,$R272)=0,"",IF($S272&lt;&gt;"OK","REVISAR",IF(OR($D272&lt;&gt;"Ativo",$H272&lt;&gt;"Sim"),IF($F272&gt;0,"ALTO","SEM EXPOSIÇÃO"),IF(OR($F272&gt;$M272,SUMIFS($F$6:$F$305,$B$6:$B$305,$B272,$S$6:$S$305,"OK")&gt;$L272),"ALTO",IF(AND($F272&gt;0,$L272&lt;=$K272),"MÉDIO","BAIXO")))))</f>
        <v/>
      </c>
      <c r="Q272" s="25">
        <f>IF(COUNTA($A272:$B272,$E272:$G272,$R272)=0,"",IF($S272&lt;&gt;"OK","REVISAR",IF($O272="SEM AÇÃO","BAIXA",IF(OR($P272="ALTO",ABS($N272)&gt;='Configurações'!$B$3),"URGENTE",IF(OR($P272="MÉDIO",'Configurações'!$B$5-$R272&gt;'Configurações'!$B$4),"ALTA","NORMAL")))))</f>
        <v/>
      </c>
      <c r="R272" s="23" t="n"/>
      <c r="S272" s="25">
        <f>IF(COUNTA($A272:$B272,$E272:$G272,$R272)=0,"",IF($A272="","ID AUSENTE",IF(COUNTIF($A$6:$A$305,$A272)&gt;1,"ID DUPLICADO",IF($B272="","SKU AUSENTE",IF(COUNTIF('Estoque Central'!$A$6:$A$205,$B272)=0,"SKU NÃO CADASTRADO",IF(IFERROR(VLOOKUP($B272,'Estoque Central'!$A$6:$M$205,13,FALSE),"")&lt;&gt;"OK","ESTOQUE CENTRAL COM PENDÊNCIA",IF($E272="","CANAL AUSENTE",IF(COUNTIF('Configurações'!$A$11:$A$20,$E272)=0,"CANAL NÃO CONFIGURADO",IF(IFERROR(VLOOKUP($E272,'Configurações'!$A$11:$F$20,6,FALSE),"")&lt;&gt;"OK","CANAL COM PENDÊNCIA",IF(COUNTIFS($B$6:$B$305,$B272,$E$6:$E$305,$E272)&gt;1,"SKU/CANAL DUPLICADO",IF(IFERROR(OR(NOT(ISNUMBER($F272)),$F272&lt;0,MOD($F272,1)&lt;&gt;0),TRUE),"SALDO PUBLICADO INVÁLIDO",IF(IFERROR(OR(NOT(ISNUMBER($G272)),$G272&lt;0,MOD($G272,1)&lt;&gt;0),TRUE),"PEDIDOS PENDENTES INVÁLIDOS",IF(IFERROR(OR(NOT(ISNUMBER($R272)),$R272&gt;'Configurações'!$B$5),TRUE),"DATA INVÁLIDA","OK")))))))))))))</f>
        <v/>
      </c>
    </row>
    <row r="273">
      <c r="A273" s="21" t="n"/>
      <c r="B273" s="21" t="n"/>
      <c r="C273" s="27">
        <f>IFERROR(VLOOKUP($B273,'Estoque Central'!$A$6:$M$205,2,FALSE),"")</f>
        <v/>
      </c>
      <c r="D273" s="25">
        <f>IFERROR(VLOOKUP($B273,'Estoque Central'!$A$6:$M$205,3,FALSE),"")</f>
        <v/>
      </c>
      <c r="E273" s="21" t="n"/>
      <c r="F273" s="22" t="n"/>
      <c r="G273" s="22" t="n"/>
      <c r="H273" s="25">
        <f>IFERROR(VLOOKUP($E273,'Configurações'!$A$11:$F$20,2,FALSE),"")</f>
        <v/>
      </c>
      <c r="I273" s="28">
        <f>IFERROR(VLOOKUP($E273,'Configurações'!$A$11:$F$20,3,FALSE),"")</f>
        <v/>
      </c>
      <c r="J273" s="24">
        <f>IFERROR(VLOOKUP($E273,'Configurações'!$A$11:$F$20,4,FALSE),"")</f>
        <v/>
      </c>
      <c r="K273" s="24">
        <f>IFERROR(VLOOKUP($E273,'Configurações'!$A$11:$F$20,5,FALSE),"")</f>
        <v/>
      </c>
      <c r="L273" s="24">
        <f>IFERROR(VLOOKUP($B273,'Estoque Central'!$A$6:$M$205,9,FALSE),"")</f>
        <v/>
      </c>
      <c r="M273" s="24">
        <f>IF(COUNTA($A273:$B273,$E273:$G273,$R273)=0,"",IFERROR(IF(OR($C273="",$H273=""),"",IF(OR($D273&lt;&gt;"Ativo",$H273&lt;&gt;"Sim"),0,MIN(IF($J273="",$L273,$J273),ROUNDDOWN($L273*$I273,0)))),""))</f>
        <v/>
      </c>
      <c r="N273" s="24">
        <f>IF(OR($M273="",NOT(ISNUMBER($F273))),"",$M273-$F273)</f>
        <v/>
      </c>
      <c r="O273" s="25">
        <f>IF(COUNTA($A273:$B273,$E273:$G273,$R273)=0,"",IF($S273&lt;&gt;"OK","REVISAR CADASTRO",IF($N273&gt;0,"AUMENTAR",IF($N273&lt;0,"REDUZIR","SEM AÇÃO"))))</f>
        <v/>
      </c>
      <c r="P273" s="25">
        <f>IF(COUNTA($A273:$B273,$E273:$G273,$R273)=0,"",IF($S273&lt;&gt;"OK","REVISAR",IF(OR($D273&lt;&gt;"Ativo",$H273&lt;&gt;"Sim"),IF($F273&gt;0,"ALTO","SEM EXPOSIÇÃO"),IF(OR($F273&gt;$M273,SUMIFS($F$6:$F$305,$B$6:$B$305,$B273,$S$6:$S$305,"OK")&gt;$L273),"ALTO",IF(AND($F273&gt;0,$L273&lt;=$K273),"MÉDIO","BAIXO")))))</f>
        <v/>
      </c>
      <c r="Q273" s="25">
        <f>IF(COUNTA($A273:$B273,$E273:$G273,$R273)=0,"",IF($S273&lt;&gt;"OK","REVISAR",IF($O273="SEM AÇÃO","BAIXA",IF(OR($P273="ALTO",ABS($N273)&gt;='Configurações'!$B$3),"URGENTE",IF(OR($P273="MÉDIO",'Configurações'!$B$5-$R273&gt;'Configurações'!$B$4),"ALTA","NORMAL")))))</f>
        <v/>
      </c>
      <c r="R273" s="23" t="n"/>
      <c r="S273" s="25">
        <f>IF(COUNTA($A273:$B273,$E273:$G273,$R273)=0,"",IF($A273="","ID AUSENTE",IF(COUNTIF($A$6:$A$305,$A273)&gt;1,"ID DUPLICADO",IF($B273="","SKU AUSENTE",IF(COUNTIF('Estoque Central'!$A$6:$A$205,$B273)=0,"SKU NÃO CADASTRADO",IF(IFERROR(VLOOKUP($B273,'Estoque Central'!$A$6:$M$205,13,FALSE),"")&lt;&gt;"OK","ESTOQUE CENTRAL COM PENDÊNCIA",IF($E273="","CANAL AUSENTE",IF(COUNTIF('Configurações'!$A$11:$A$20,$E273)=0,"CANAL NÃO CONFIGURADO",IF(IFERROR(VLOOKUP($E273,'Configurações'!$A$11:$F$20,6,FALSE),"")&lt;&gt;"OK","CANAL COM PENDÊNCIA",IF(COUNTIFS($B$6:$B$305,$B273,$E$6:$E$305,$E273)&gt;1,"SKU/CANAL DUPLICADO",IF(IFERROR(OR(NOT(ISNUMBER($F273)),$F273&lt;0,MOD($F273,1)&lt;&gt;0),TRUE),"SALDO PUBLICADO INVÁLIDO",IF(IFERROR(OR(NOT(ISNUMBER($G273)),$G273&lt;0,MOD($G273,1)&lt;&gt;0),TRUE),"PEDIDOS PENDENTES INVÁLIDOS",IF(IFERROR(OR(NOT(ISNUMBER($R273)),$R273&gt;'Configurações'!$B$5),TRUE),"DATA INVÁLIDA","OK")))))))))))))</f>
        <v/>
      </c>
    </row>
    <row r="274">
      <c r="A274" s="21" t="n"/>
      <c r="B274" s="21" t="n"/>
      <c r="C274" s="27">
        <f>IFERROR(VLOOKUP($B274,'Estoque Central'!$A$6:$M$205,2,FALSE),"")</f>
        <v/>
      </c>
      <c r="D274" s="25">
        <f>IFERROR(VLOOKUP($B274,'Estoque Central'!$A$6:$M$205,3,FALSE),"")</f>
        <v/>
      </c>
      <c r="E274" s="21" t="n"/>
      <c r="F274" s="22" t="n"/>
      <c r="G274" s="22" t="n"/>
      <c r="H274" s="25">
        <f>IFERROR(VLOOKUP($E274,'Configurações'!$A$11:$F$20,2,FALSE),"")</f>
        <v/>
      </c>
      <c r="I274" s="28">
        <f>IFERROR(VLOOKUP($E274,'Configurações'!$A$11:$F$20,3,FALSE),"")</f>
        <v/>
      </c>
      <c r="J274" s="24">
        <f>IFERROR(VLOOKUP($E274,'Configurações'!$A$11:$F$20,4,FALSE),"")</f>
        <v/>
      </c>
      <c r="K274" s="24">
        <f>IFERROR(VLOOKUP($E274,'Configurações'!$A$11:$F$20,5,FALSE),"")</f>
        <v/>
      </c>
      <c r="L274" s="24">
        <f>IFERROR(VLOOKUP($B274,'Estoque Central'!$A$6:$M$205,9,FALSE),"")</f>
        <v/>
      </c>
      <c r="M274" s="24">
        <f>IF(COUNTA($A274:$B274,$E274:$G274,$R274)=0,"",IFERROR(IF(OR($C274="",$H274=""),"",IF(OR($D274&lt;&gt;"Ativo",$H274&lt;&gt;"Sim"),0,MIN(IF($J274="",$L274,$J274),ROUNDDOWN($L274*$I274,0)))),""))</f>
        <v/>
      </c>
      <c r="N274" s="24">
        <f>IF(OR($M274="",NOT(ISNUMBER($F274))),"",$M274-$F274)</f>
        <v/>
      </c>
      <c r="O274" s="25">
        <f>IF(COUNTA($A274:$B274,$E274:$G274,$R274)=0,"",IF($S274&lt;&gt;"OK","REVISAR CADASTRO",IF($N274&gt;0,"AUMENTAR",IF($N274&lt;0,"REDUZIR","SEM AÇÃO"))))</f>
        <v/>
      </c>
      <c r="P274" s="25">
        <f>IF(COUNTA($A274:$B274,$E274:$G274,$R274)=0,"",IF($S274&lt;&gt;"OK","REVISAR",IF(OR($D274&lt;&gt;"Ativo",$H274&lt;&gt;"Sim"),IF($F274&gt;0,"ALTO","SEM EXPOSIÇÃO"),IF(OR($F274&gt;$M274,SUMIFS($F$6:$F$305,$B$6:$B$305,$B274,$S$6:$S$305,"OK")&gt;$L274),"ALTO",IF(AND($F274&gt;0,$L274&lt;=$K274),"MÉDIO","BAIXO")))))</f>
        <v/>
      </c>
      <c r="Q274" s="25">
        <f>IF(COUNTA($A274:$B274,$E274:$G274,$R274)=0,"",IF($S274&lt;&gt;"OK","REVISAR",IF($O274="SEM AÇÃO","BAIXA",IF(OR($P274="ALTO",ABS($N274)&gt;='Configurações'!$B$3),"URGENTE",IF(OR($P274="MÉDIO",'Configurações'!$B$5-$R274&gt;'Configurações'!$B$4),"ALTA","NORMAL")))))</f>
        <v/>
      </c>
      <c r="R274" s="23" t="n"/>
      <c r="S274" s="25">
        <f>IF(COUNTA($A274:$B274,$E274:$G274,$R274)=0,"",IF($A274="","ID AUSENTE",IF(COUNTIF($A$6:$A$305,$A274)&gt;1,"ID DUPLICADO",IF($B274="","SKU AUSENTE",IF(COUNTIF('Estoque Central'!$A$6:$A$205,$B274)=0,"SKU NÃO CADASTRADO",IF(IFERROR(VLOOKUP($B274,'Estoque Central'!$A$6:$M$205,13,FALSE),"")&lt;&gt;"OK","ESTOQUE CENTRAL COM PENDÊNCIA",IF($E274="","CANAL AUSENTE",IF(COUNTIF('Configurações'!$A$11:$A$20,$E274)=0,"CANAL NÃO CONFIGURADO",IF(IFERROR(VLOOKUP($E274,'Configurações'!$A$11:$F$20,6,FALSE),"")&lt;&gt;"OK","CANAL COM PENDÊNCIA",IF(COUNTIFS($B$6:$B$305,$B274,$E$6:$E$305,$E274)&gt;1,"SKU/CANAL DUPLICADO",IF(IFERROR(OR(NOT(ISNUMBER($F274)),$F274&lt;0,MOD($F274,1)&lt;&gt;0),TRUE),"SALDO PUBLICADO INVÁLIDO",IF(IFERROR(OR(NOT(ISNUMBER($G274)),$G274&lt;0,MOD($G274,1)&lt;&gt;0),TRUE),"PEDIDOS PENDENTES INVÁLIDOS",IF(IFERROR(OR(NOT(ISNUMBER($R274)),$R274&gt;'Configurações'!$B$5),TRUE),"DATA INVÁLIDA","OK")))))))))))))</f>
        <v/>
      </c>
    </row>
    <row r="275">
      <c r="A275" s="21" t="n"/>
      <c r="B275" s="21" t="n"/>
      <c r="C275" s="27">
        <f>IFERROR(VLOOKUP($B275,'Estoque Central'!$A$6:$M$205,2,FALSE),"")</f>
        <v/>
      </c>
      <c r="D275" s="25">
        <f>IFERROR(VLOOKUP($B275,'Estoque Central'!$A$6:$M$205,3,FALSE),"")</f>
        <v/>
      </c>
      <c r="E275" s="21" t="n"/>
      <c r="F275" s="22" t="n"/>
      <c r="G275" s="22" t="n"/>
      <c r="H275" s="25">
        <f>IFERROR(VLOOKUP($E275,'Configurações'!$A$11:$F$20,2,FALSE),"")</f>
        <v/>
      </c>
      <c r="I275" s="28">
        <f>IFERROR(VLOOKUP($E275,'Configurações'!$A$11:$F$20,3,FALSE),"")</f>
        <v/>
      </c>
      <c r="J275" s="24">
        <f>IFERROR(VLOOKUP($E275,'Configurações'!$A$11:$F$20,4,FALSE),"")</f>
        <v/>
      </c>
      <c r="K275" s="24">
        <f>IFERROR(VLOOKUP($E275,'Configurações'!$A$11:$F$20,5,FALSE),"")</f>
        <v/>
      </c>
      <c r="L275" s="24">
        <f>IFERROR(VLOOKUP($B275,'Estoque Central'!$A$6:$M$205,9,FALSE),"")</f>
        <v/>
      </c>
      <c r="M275" s="24">
        <f>IF(COUNTA($A275:$B275,$E275:$G275,$R275)=0,"",IFERROR(IF(OR($C275="",$H275=""),"",IF(OR($D275&lt;&gt;"Ativo",$H275&lt;&gt;"Sim"),0,MIN(IF($J275="",$L275,$J275),ROUNDDOWN($L275*$I275,0)))),""))</f>
        <v/>
      </c>
      <c r="N275" s="24">
        <f>IF(OR($M275="",NOT(ISNUMBER($F275))),"",$M275-$F275)</f>
        <v/>
      </c>
      <c r="O275" s="25">
        <f>IF(COUNTA($A275:$B275,$E275:$G275,$R275)=0,"",IF($S275&lt;&gt;"OK","REVISAR CADASTRO",IF($N275&gt;0,"AUMENTAR",IF($N275&lt;0,"REDUZIR","SEM AÇÃO"))))</f>
        <v/>
      </c>
      <c r="P275" s="25">
        <f>IF(COUNTA($A275:$B275,$E275:$G275,$R275)=0,"",IF($S275&lt;&gt;"OK","REVISAR",IF(OR($D275&lt;&gt;"Ativo",$H275&lt;&gt;"Sim"),IF($F275&gt;0,"ALTO","SEM EXPOSIÇÃO"),IF(OR($F275&gt;$M275,SUMIFS($F$6:$F$305,$B$6:$B$305,$B275,$S$6:$S$305,"OK")&gt;$L275),"ALTO",IF(AND($F275&gt;0,$L275&lt;=$K275),"MÉDIO","BAIXO")))))</f>
        <v/>
      </c>
      <c r="Q275" s="25">
        <f>IF(COUNTA($A275:$B275,$E275:$G275,$R275)=0,"",IF($S275&lt;&gt;"OK","REVISAR",IF($O275="SEM AÇÃO","BAIXA",IF(OR($P275="ALTO",ABS($N275)&gt;='Configurações'!$B$3),"URGENTE",IF(OR($P275="MÉDIO",'Configurações'!$B$5-$R275&gt;'Configurações'!$B$4),"ALTA","NORMAL")))))</f>
        <v/>
      </c>
      <c r="R275" s="23" t="n"/>
      <c r="S275" s="25">
        <f>IF(COUNTA($A275:$B275,$E275:$G275,$R275)=0,"",IF($A275="","ID AUSENTE",IF(COUNTIF($A$6:$A$305,$A275)&gt;1,"ID DUPLICADO",IF($B275="","SKU AUSENTE",IF(COUNTIF('Estoque Central'!$A$6:$A$205,$B275)=0,"SKU NÃO CADASTRADO",IF(IFERROR(VLOOKUP($B275,'Estoque Central'!$A$6:$M$205,13,FALSE),"")&lt;&gt;"OK","ESTOQUE CENTRAL COM PENDÊNCIA",IF($E275="","CANAL AUSENTE",IF(COUNTIF('Configurações'!$A$11:$A$20,$E275)=0,"CANAL NÃO CONFIGURADO",IF(IFERROR(VLOOKUP($E275,'Configurações'!$A$11:$F$20,6,FALSE),"")&lt;&gt;"OK","CANAL COM PENDÊNCIA",IF(COUNTIFS($B$6:$B$305,$B275,$E$6:$E$305,$E275)&gt;1,"SKU/CANAL DUPLICADO",IF(IFERROR(OR(NOT(ISNUMBER($F275)),$F275&lt;0,MOD($F275,1)&lt;&gt;0),TRUE),"SALDO PUBLICADO INVÁLIDO",IF(IFERROR(OR(NOT(ISNUMBER($G275)),$G275&lt;0,MOD($G275,1)&lt;&gt;0),TRUE),"PEDIDOS PENDENTES INVÁLIDOS",IF(IFERROR(OR(NOT(ISNUMBER($R275)),$R275&gt;'Configurações'!$B$5),TRUE),"DATA INVÁLIDA","OK")))))))))))))</f>
        <v/>
      </c>
    </row>
    <row r="276">
      <c r="A276" s="21" t="n"/>
      <c r="B276" s="21" t="n"/>
      <c r="C276" s="27">
        <f>IFERROR(VLOOKUP($B276,'Estoque Central'!$A$6:$M$205,2,FALSE),"")</f>
        <v/>
      </c>
      <c r="D276" s="25">
        <f>IFERROR(VLOOKUP($B276,'Estoque Central'!$A$6:$M$205,3,FALSE),"")</f>
        <v/>
      </c>
      <c r="E276" s="21" t="n"/>
      <c r="F276" s="22" t="n"/>
      <c r="G276" s="22" t="n"/>
      <c r="H276" s="25">
        <f>IFERROR(VLOOKUP($E276,'Configurações'!$A$11:$F$20,2,FALSE),"")</f>
        <v/>
      </c>
      <c r="I276" s="28">
        <f>IFERROR(VLOOKUP($E276,'Configurações'!$A$11:$F$20,3,FALSE),"")</f>
        <v/>
      </c>
      <c r="J276" s="24">
        <f>IFERROR(VLOOKUP($E276,'Configurações'!$A$11:$F$20,4,FALSE),"")</f>
        <v/>
      </c>
      <c r="K276" s="24">
        <f>IFERROR(VLOOKUP($E276,'Configurações'!$A$11:$F$20,5,FALSE),"")</f>
        <v/>
      </c>
      <c r="L276" s="24">
        <f>IFERROR(VLOOKUP($B276,'Estoque Central'!$A$6:$M$205,9,FALSE),"")</f>
        <v/>
      </c>
      <c r="M276" s="24">
        <f>IF(COUNTA($A276:$B276,$E276:$G276,$R276)=0,"",IFERROR(IF(OR($C276="",$H276=""),"",IF(OR($D276&lt;&gt;"Ativo",$H276&lt;&gt;"Sim"),0,MIN(IF($J276="",$L276,$J276),ROUNDDOWN($L276*$I276,0)))),""))</f>
        <v/>
      </c>
      <c r="N276" s="24">
        <f>IF(OR($M276="",NOT(ISNUMBER($F276))),"",$M276-$F276)</f>
        <v/>
      </c>
      <c r="O276" s="25">
        <f>IF(COUNTA($A276:$B276,$E276:$G276,$R276)=0,"",IF($S276&lt;&gt;"OK","REVISAR CADASTRO",IF($N276&gt;0,"AUMENTAR",IF($N276&lt;0,"REDUZIR","SEM AÇÃO"))))</f>
        <v/>
      </c>
      <c r="P276" s="25">
        <f>IF(COUNTA($A276:$B276,$E276:$G276,$R276)=0,"",IF($S276&lt;&gt;"OK","REVISAR",IF(OR($D276&lt;&gt;"Ativo",$H276&lt;&gt;"Sim"),IF($F276&gt;0,"ALTO","SEM EXPOSIÇÃO"),IF(OR($F276&gt;$M276,SUMIFS($F$6:$F$305,$B$6:$B$305,$B276,$S$6:$S$305,"OK")&gt;$L276),"ALTO",IF(AND($F276&gt;0,$L276&lt;=$K276),"MÉDIO","BAIXO")))))</f>
        <v/>
      </c>
      <c r="Q276" s="25">
        <f>IF(COUNTA($A276:$B276,$E276:$G276,$R276)=0,"",IF($S276&lt;&gt;"OK","REVISAR",IF($O276="SEM AÇÃO","BAIXA",IF(OR($P276="ALTO",ABS($N276)&gt;='Configurações'!$B$3),"URGENTE",IF(OR($P276="MÉDIO",'Configurações'!$B$5-$R276&gt;'Configurações'!$B$4),"ALTA","NORMAL")))))</f>
        <v/>
      </c>
      <c r="R276" s="23" t="n"/>
      <c r="S276" s="25">
        <f>IF(COUNTA($A276:$B276,$E276:$G276,$R276)=0,"",IF($A276="","ID AUSENTE",IF(COUNTIF($A$6:$A$305,$A276)&gt;1,"ID DUPLICADO",IF($B276="","SKU AUSENTE",IF(COUNTIF('Estoque Central'!$A$6:$A$205,$B276)=0,"SKU NÃO CADASTRADO",IF(IFERROR(VLOOKUP($B276,'Estoque Central'!$A$6:$M$205,13,FALSE),"")&lt;&gt;"OK","ESTOQUE CENTRAL COM PENDÊNCIA",IF($E276="","CANAL AUSENTE",IF(COUNTIF('Configurações'!$A$11:$A$20,$E276)=0,"CANAL NÃO CONFIGURADO",IF(IFERROR(VLOOKUP($E276,'Configurações'!$A$11:$F$20,6,FALSE),"")&lt;&gt;"OK","CANAL COM PENDÊNCIA",IF(COUNTIFS($B$6:$B$305,$B276,$E$6:$E$305,$E276)&gt;1,"SKU/CANAL DUPLICADO",IF(IFERROR(OR(NOT(ISNUMBER($F276)),$F276&lt;0,MOD($F276,1)&lt;&gt;0),TRUE),"SALDO PUBLICADO INVÁLIDO",IF(IFERROR(OR(NOT(ISNUMBER($G276)),$G276&lt;0,MOD($G276,1)&lt;&gt;0),TRUE),"PEDIDOS PENDENTES INVÁLIDOS",IF(IFERROR(OR(NOT(ISNUMBER($R276)),$R276&gt;'Configurações'!$B$5),TRUE),"DATA INVÁLIDA","OK")))))))))))))</f>
        <v/>
      </c>
    </row>
    <row r="277">
      <c r="A277" s="21" t="n"/>
      <c r="B277" s="21" t="n"/>
      <c r="C277" s="27">
        <f>IFERROR(VLOOKUP($B277,'Estoque Central'!$A$6:$M$205,2,FALSE),"")</f>
        <v/>
      </c>
      <c r="D277" s="25">
        <f>IFERROR(VLOOKUP($B277,'Estoque Central'!$A$6:$M$205,3,FALSE),"")</f>
        <v/>
      </c>
      <c r="E277" s="21" t="n"/>
      <c r="F277" s="22" t="n"/>
      <c r="G277" s="22" t="n"/>
      <c r="H277" s="25">
        <f>IFERROR(VLOOKUP($E277,'Configurações'!$A$11:$F$20,2,FALSE),"")</f>
        <v/>
      </c>
      <c r="I277" s="28">
        <f>IFERROR(VLOOKUP($E277,'Configurações'!$A$11:$F$20,3,FALSE),"")</f>
        <v/>
      </c>
      <c r="J277" s="24">
        <f>IFERROR(VLOOKUP($E277,'Configurações'!$A$11:$F$20,4,FALSE),"")</f>
        <v/>
      </c>
      <c r="K277" s="24">
        <f>IFERROR(VLOOKUP($E277,'Configurações'!$A$11:$F$20,5,FALSE),"")</f>
        <v/>
      </c>
      <c r="L277" s="24">
        <f>IFERROR(VLOOKUP($B277,'Estoque Central'!$A$6:$M$205,9,FALSE),"")</f>
        <v/>
      </c>
      <c r="M277" s="24">
        <f>IF(COUNTA($A277:$B277,$E277:$G277,$R277)=0,"",IFERROR(IF(OR($C277="",$H277=""),"",IF(OR($D277&lt;&gt;"Ativo",$H277&lt;&gt;"Sim"),0,MIN(IF($J277="",$L277,$J277),ROUNDDOWN($L277*$I277,0)))),""))</f>
        <v/>
      </c>
      <c r="N277" s="24">
        <f>IF(OR($M277="",NOT(ISNUMBER($F277))),"",$M277-$F277)</f>
        <v/>
      </c>
      <c r="O277" s="25">
        <f>IF(COUNTA($A277:$B277,$E277:$G277,$R277)=0,"",IF($S277&lt;&gt;"OK","REVISAR CADASTRO",IF($N277&gt;0,"AUMENTAR",IF($N277&lt;0,"REDUZIR","SEM AÇÃO"))))</f>
        <v/>
      </c>
      <c r="P277" s="25">
        <f>IF(COUNTA($A277:$B277,$E277:$G277,$R277)=0,"",IF($S277&lt;&gt;"OK","REVISAR",IF(OR($D277&lt;&gt;"Ativo",$H277&lt;&gt;"Sim"),IF($F277&gt;0,"ALTO","SEM EXPOSIÇÃO"),IF(OR($F277&gt;$M277,SUMIFS($F$6:$F$305,$B$6:$B$305,$B277,$S$6:$S$305,"OK")&gt;$L277),"ALTO",IF(AND($F277&gt;0,$L277&lt;=$K277),"MÉDIO","BAIXO")))))</f>
        <v/>
      </c>
      <c r="Q277" s="25">
        <f>IF(COUNTA($A277:$B277,$E277:$G277,$R277)=0,"",IF($S277&lt;&gt;"OK","REVISAR",IF($O277="SEM AÇÃO","BAIXA",IF(OR($P277="ALTO",ABS($N277)&gt;='Configurações'!$B$3),"URGENTE",IF(OR($P277="MÉDIO",'Configurações'!$B$5-$R277&gt;'Configurações'!$B$4),"ALTA","NORMAL")))))</f>
        <v/>
      </c>
      <c r="R277" s="23" t="n"/>
      <c r="S277" s="25">
        <f>IF(COUNTA($A277:$B277,$E277:$G277,$R277)=0,"",IF($A277="","ID AUSENTE",IF(COUNTIF($A$6:$A$305,$A277)&gt;1,"ID DUPLICADO",IF($B277="","SKU AUSENTE",IF(COUNTIF('Estoque Central'!$A$6:$A$205,$B277)=0,"SKU NÃO CADASTRADO",IF(IFERROR(VLOOKUP($B277,'Estoque Central'!$A$6:$M$205,13,FALSE),"")&lt;&gt;"OK","ESTOQUE CENTRAL COM PENDÊNCIA",IF($E277="","CANAL AUSENTE",IF(COUNTIF('Configurações'!$A$11:$A$20,$E277)=0,"CANAL NÃO CONFIGURADO",IF(IFERROR(VLOOKUP($E277,'Configurações'!$A$11:$F$20,6,FALSE),"")&lt;&gt;"OK","CANAL COM PENDÊNCIA",IF(COUNTIFS($B$6:$B$305,$B277,$E$6:$E$305,$E277)&gt;1,"SKU/CANAL DUPLICADO",IF(IFERROR(OR(NOT(ISNUMBER($F277)),$F277&lt;0,MOD($F277,1)&lt;&gt;0),TRUE),"SALDO PUBLICADO INVÁLIDO",IF(IFERROR(OR(NOT(ISNUMBER($G277)),$G277&lt;0,MOD($G277,1)&lt;&gt;0),TRUE),"PEDIDOS PENDENTES INVÁLIDOS",IF(IFERROR(OR(NOT(ISNUMBER($R277)),$R277&gt;'Configurações'!$B$5),TRUE),"DATA INVÁLIDA","OK")))))))))))))</f>
        <v/>
      </c>
    </row>
    <row r="278">
      <c r="A278" s="21" t="n"/>
      <c r="B278" s="21" t="n"/>
      <c r="C278" s="27">
        <f>IFERROR(VLOOKUP($B278,'Estoque Central'!$A$6:$M$205,2,FALSE),"")</f>
        <v/>
      </c>
      <c r="D278" s="25">
        <f>IFERROR(VLOOKUP($B278,'Estoque Central'!$A$6:$M$205,3,FALSE),"")</f>
        <v/>
      </c>
      <c r="E278" s="21" t="n"/>
      <c r="F278" s="22" t="n"/>
      <c r="G278" s="22" t="n"/>
      <c r="H278" s="25">
        <f>IFERROR(VLOOKUP($E278,'Configurações'!$A$11:$F$20,2,FALSE),"")</f>
        <v/>
      </c>
      <c r="I278" s="28">
        <f>IFERROR(VLOOKUP($E278,'Configurações'!$A$11:$F$20,3,FALSE),"")</f>
        <v/>
      </c>
      <c r="J278" s="24">
        <f>IFERROR(VLOOKUP($E278,'Configurações'!$A$11:$F$20,4,FALSE),"")</f>
        <v/>
      </c>
      <c r="K278" s="24">
        <f>IFERROR(VLOOKUP($E278,'Configurações'!$A$11:$F$20,5,FALSE),"")</f>
        <v/>
      </c>
      <c r="L278" s="24">
        <f>IFERROR(VLOOKUP($B278,'Estoque Central'!$A$6:$M$205,9,FALSE),"")</f>
        <v/>
      </c>
      <c r="M278" s="24">
        <f>IF(COUNTA($A278:$B278,$E278:$G278,$R278)=0,"",IFERROR(IF(OR($C278="",$H278=""),"",IF(OR($D278&lt;&gt;"Ativo",$H278&lt;&gt;"Sim"),0,MIN(IF($J278="",$L278,$J278),ROUNDDOWN($L278*$I278,0)))),""))</f>
        <v/>
      </c>
      <c r="N278" s="24">
        <f>IF(OR($M278="",NOT(ISNUMBER($F278))),"",$M278-$F278)</f>
        <v/>
      </c>
      <c r="O278" s="25">
        <f>IF(COUNTA($A278:$B278,$E278:$G278,$R278)=0,"",IF($S278&lt;&gt;"OK","REVISAR CADASTRO",IF($N278&gt;0,"AUMENTAR",IF($N278&lt;0,"REDUZIR","SEM AÇÃO"))))</f>
        <v/>
      </c>
      <c r="P278" s="25">
        <f>IF(COUNTA($A278:$B278,$E278:$G278,$R278)=0,"",IF($S278&lt;&gt;"OK","REVISAR",IF(OR($D278&lt;&gt;"Ativo",$H278&lt;&gt;"Sim"),IF($F278&gt;0,"ALTO","SEM EXPOSIÇÃO"),IF(OR($F278&gt;$M278,SUMIFS($F$6:$F$305,$B$6:$B$305,$B278,$S$6:$S$305,"OK")&gt;$L278),"ALTO",IF(AND($F278&gt;0,$L278&lt;=$K278),"MÉDIO","BAIXO")))))</f>
        <v/>
      </c>
      <c r="Q278" s="25">
        <f>IF(COUNTA($A278:$B278,$E278:$G278,$R278)=0,"",IF($S278&lt;&gt;"OK","REVISAR",IF($O278="SEM AÇÃO","BAIXA",IF(OR($P278="ALTO",ABS($N278)&gt;='Configurações'!$B$3),"URGENTE",IF(OR($P278="MÉDIO",'Configurações'!$B$5-$R278&gt;'Configurações'!$B$4),"ALTA","NORMAL")))))</f>
        <v/>
      </c>
      <c r="R278" s="23" t="n"/>
      <c r="S278" s="25">
        <f>IF(COUNTA($A278:$B278,$E278:$G278,$R278)=0,"",IF($A278="","ID AUSENTE",IF(COUNTIF($A$6:$A$305,$A278)&gt;1,"ID DUPLICADO",IF($B278="","SKU AUSENTE",IF(COUNTIF('Estoque Central'!$A$6:$A$205,$B278)=0,"SKU NÃO CADASTRADO",IF(IFERROR(VLOOKUP($B278,'Estoque Central'!$A$6:$M$205,13,FALSE),"")&lt;&gt;"OK","ESTOQUE CENTRAL COM PENDÊNCIA",IF($E278="","CANAL AUSENTE",IF(COUNTIF('Configurações'!$A$11:$A$20,$E278)=0,"CANAL NÃO CONFIGURADO",IF(IFERROR(VLOOKUP($E278,'Configurações'!$A$11:$F$20,6,FALSE),"")&lt;&gt;"OK","CANAL COM PENDÊNCIA",IF(COUNTIFS($B$6:$B$305,$B278,$E$6:$E$305,$E278)&gt;1,"SKU/CANAL DUPLICADO",IF(IFERROR(OR(NOT(ISNUMBER($F278)),$F278&lt;0,MOD($F278,1)&lt;&gt;0),TRUE),"SALDO PUBLICADO INVÁLIDO",IF(IFERROR(OR(NOT(ISNUMBER($G278)),$G278&lt;0,MOD($G278,1)&lt;&gt;0),TRUE),"PEDIDOS PENDENTES INVÁLIDOS",IF(IFERROR(OR(NOT(ISNUMBER($R278)),$R278&gt;'Configurações'!$B$5),TRUE),"DATA INVÁLIDA","OK")))))))))))))</f>
        <v/>
      </c>
    </row>
    <row r="279">
      <c r="A279" s="21" t="n"/>
      <c r="B279" s="21" t="n"/>
      <c r="C279" s="27">
        <f>IFERROR(VLOOKUP($B279,'Estoque Central'!$A$6:$M$205,2,FALSE),"")</f>
        <v/>
      </c>
      <c r="D279" s="25">
        <f>IFERROR(VLOOKUP($B279,'Estoque Central'!$A$6:$M$205,3,FALSE),"")</f>
        <v/>
      </c>
      <c r="E279" s="21" t="n"/>
      <c r="F279" s="22" t="n"/>
      <c r="G279" s="22" t="n"/>
      <c r="H279" s="25">
        <f>IFERROR(VLOOKUP($E279,'Configurações'!$A$11:$F$20,2,FALSE),"")</f>
        <v/>
      </c>
      <c r="I279" s="28">
        <f>IFERROR(VLOOKUP($E279,'Configurações'!$A$11:$F$20,3,FALSE),"")</f>
        <v/>
      </c>
      <c r="J279" s="24">
        <f>IFERROR(VLOOKUP($E279,'Configurações'!$A$11:$F$20,4,FALSE),"")</f>
        <v/>
      </c>
      <c r="K279" s="24">
        <f>IFERROR(VLOOKUP($E279,'Configurações'!$A$11:$F$20,5,FALSE),"")</f>
        <v/>
      </c>
      <c r="L279" s="24">
        <f>IFERROR(VLOOKUP($B279,'Estoque Central'!$A$6:$M$205,9,FALSE),"")</f>
        <v/>
      </c>
      <c r="M279" s="24">
        <f>IF(COUNTA($A279:$B279,$E279:$G279,$R279)=0,"",IFERROR(IF(OR($C279="",$H279=""),"",IF(OR($D279&lt;&gt;"Ativo",$H279&lt;&gt;"Sim"),0,MIN(IF($J279="",$L279,$J279),ROUNDDOWN($L279*$I279,0)))),""))</f>
        <v/>
      </c>
      <c r="N279" s="24">
        <f>IF(OR($M279="",NOT(ISNUMBER($F279))),"",$M279-$F279)</f>
        <v/>
      </c>
      <c r="O279" s="25">
        <f>IF(COUNTA($A279:$B279,$E279:$G279,$R279)=0,"",IF($S279&lt;&gt;"OK","REVISAR CADASTRO",IF($N279&gt;0,"AUMENTAR",IF($N279&lt;0,"REDUZIR","SEM AÇÃO"))))</f>
        <v/>
      </c>
      <c r="P279" s="25">
        <f>IF(COUNTA($A279:$B279,$E279:$G279,$R279)=0,"",IF($S279&lt;&gt;"OK","REVISAR",IF(OR($D279&lt;&gt;"Ativo",$H279&lt;&gt;"Sim"),IF($F279&gt;0,"ALTO","SEM EXPOSIÇÃO"),IF(OR($F279&gt;$M279,SUMIFS($F$6:$F$305,$B$6:$B$305,$B279,$S$6:$S$305,"OK")&gt;$L279),"ALTO",IF(AND($F279&gt;0,$L279&lt;=$K279),"MÉDIO","BAIXO")))))</f>
        <v/>
      </c>
      <c r="Q279" s="25">
        <f>IF(COUNTA($A279:$B279,$E279:$G279,$R279)=0,"",IF($S279&lt;&gt;"OK","REVISAR",IF($O279="SEM AÇÃO","BAIXA",IF(OR($P279="ALTO",ABS($N279)&gt;='Configurações'!$B$3),"URGENTE",IF(OR($P279="MÉDIO",'Configurações'!$B$5-$R279&gt;'Configurações'!$B$4),"ALTA","NORMAL")))))</f>
        <v/>
      </c>
      <c r="R279" s="23" t="n"/>
      <c r="S279" s="25">
        <f>IF(COUNTA($A279:$B279,$E279:$G279,$R279)=0,"",IF($A279="","ID AUSENTE",IF(COUNTIF($A$6:$A$305,$A279)&gt;1,"ID DUPLICADO",IF($B279="","SKU AUSENTE",IF(COUNTIF('Estoque Central'!$A$6:$A$205,$B279)=0,"SKU NÃO CADASTRADO",IF(IFERROR(VLOOKUP($B279,'Estoque Central'!$A$6:$M$205,13,FALSE),"")&lt;&gt;"OK","ESTOQUE CENTRAL COM PENDÊNCIA",IF($E279="","CANAL AUSENTE",IF(COUNTIF('Configurações'!$A$11:$A$20,$E279)=0,"CANAL NÃO CONFIGURADO",IF(IFERROR(VLOOKUP($E279,'Configurações'!$A$11:$F$20,6,FALSE),"")&lt;&gt;"OK","CANAL COM PENDÊNCIA",IF(COUNTIFS($B$6:$B$305,$B279,$E$6:$E$305,$E279)&gt;1,"SKU/CANAL DUPLICADO",IF(IFERROR(OR(NOT(ISNUMBER($F279)),$F279&lt;0,MOD($F279,1)&lt;&gt;0),TRUE),"SALDO PUBLICADO INVÁLIDO",IF(IFERROR(OR(NOT(ISNUMBER($G279)),$G279&lt;0,MOD($G279,1)&lt;&gt;0),TRUE),"PEDIDOS PENDENTES INVÁLIDOS",IF(IFERROR(OR(NOT(ISNUMBER($R279)),$R279&gt;'Configurações'!$B$5),TRUE),"DATA INVÁLIDA","OK")))))))))))))</f>
        <v/>
      </c>
    </row>
    <row r="280">
      <c r="A280" s="21" t="n"/>
      <c r="B280" s="21" t="n"/>
      <c r="C280" s="27">
        <f>IFERROR(VLOOKUP($B280,'Estoque Central'!$A$6:$M$205,2,FALSE),"")</f>
        <v/>
      </c>
      <c r="D280" s="25">
        <f>IFERROR(VLOOKUP($B280,'Estoque Central'!$A$6:$M$205,3,FALSE),"")</f>
        <v/>
      </c>
      <c r="E280" s="21" t="n"/>
      <c r="F280" s="22" t="n"/>
      <c r="G280" s="22" t="n"/>
      <c r="H280" s="25">
        <f>IFERROR(VLOOKUP($E280,'Configurações'!$A$11:$F$20,2,FALSE),"")</f>
        <v/>
      </c>
      <c r="I280" s="28">
        <f>IFERROR(VLOOKUP($E280,'Configurações'!$A$11:$F$20,3,FALSE),"")</f>
        <v/>
      </c>
      <c r="J280" s="24">
        <f>IFERROR(VLOOKUP($E280,'Configurações'!$A$11:$F$20,4,FALSE),"")</f>
        <v/>
      </c>
      <c r="K280" s="24">
        <f>IFERROR(VLOOKUP($E280,'Configurações'!$A$11:$F$20,5,FALSE),"")</f>
        <v/>
      </c>
      <c r="L280" s="24">
        <f>IFERROR(VLOOKUP($B280,'Estoque Central'!$A$6:$M$205,9,FALSE),"")</f>
        <v/>
      </c>
      <c r="M280" s="24">
        <f>IF(COUNTA($A280:$B280,$E280:$G280,$R280)=0,"",IFERROR(IF(OR($C280="",$H280=""),"",IF(OR($D280&lt;&gt;"Ativo",$H280&lt;&gt;"Sim"),0,MIN(IF($J280="",$L280,$J280),ROUNDDOWN($L280*$I280,0)))),""))</f>
        <v/>
      </c>
      <c r="N280" s="24">
        <f>IF(OR($M280="",NOT(ISNUMBER($F280))),"",$M280-$F280)</f>
        <v/>
      </c>
      <c r="O280" s="25">
        <f>IF(COUNTA($A280:$B280,$E280:$G280,$R280)=0,"",IF($S280&lt;&gt;"OK","REVISAR CADASTRO",IF($N280&gt;0,"AUMENTAR",IF($N280&lt;0,"REDUZIR","SEM AÇÃO"))))</f>
        <v/>
      </c>
      <c r="P280" s="25">
        <f>IF(COUNTA($A280:$B280,$E280:$G280,$R280)=0,"",IF($S280&lt;&gt;"OK","REVISAR",IF(OR($D280&lt;&gt;"Ativo",$H280&lt;&gt;"Sim"),IF($F280&gt;0,"ALTO","SEM EXPOSIÇÃO"),IF(OR($F280&gt;$M280,SUMIFS($F$6:$F$305,$B$6:$B$305,$B280,$S$6:$S$305,"OK")&gt;$L280),"ALTO",IF(AND($F280&gt;0,$L280&lt;=$K280),"MÉDIO","BAIXO")))))</f>
        <v/>
      </c>
      <c r="Q280" s="25">
        <f>IF(COUNTA($A280:$B280,$E280:$G280,$R280)=0,"",IF($S280&lt;&gt;"OK","REVISAR",IF($O280="SEM AÇÃO","BAIXA",IF(OR($P280="ALTO",ABS($N280)&gt;='Configurações'!$B$3),"URGENTE",IF(OR($P280="MÉDIO",'Configurações'!$B$5-$R280&gt;'Configurações'!$B$4),"ALTA","NORMAL")))))</f>
        <v/>
      </c>
      <c r="R280" s="23" t="n"/>
      <c r="S280" s="25">
        <f>IF(COUNTA($A280:$B280,$E280:$G280,$R280)=0,"",IF($A280="","ID AUSENTE",IF(COUNTIF($A$6:$A$305,$A280)&gt;1,"ID DUPLICADO",IF($B280="","SKU AUSENTE",IF(COUNTIF('Estoque Central'!$A$6:$A$205,$B280)=0,"SKU NÃO CADASTRADO",IF(IFERROR(VLOOKUP($B280,'Estoque Central'!$A$6:$M$205,13,FALSE),"")&lt;&gt;"OK","ESTOQUE CENTRAL COM PENDÊNCIA",IF($E280="","CANAL AUSENTE",IF(COUNTIF('Configurações'!$A$11:$A$20,$E280)=0,"CANAL NÃO CONFIGURADO",IF(IFERROR(VLOOKUP($E280,'Configurações'!$A$11:$F$20,6,FALSE),"")&lt;&gt;"OK","CANAL COM PENDÊNCIA",IF(COUNTIFS($B$6:$B$305,$B280,$E$6:$E$305,$E280)&gt;1,"SKU/CANAL DUPLICADO",IF(IFERROR(OR(NOT(ISNUMBER($F280)),$F280&lt;0,MOD($F280,1)&lt;&gt;0),TRUE),"SALDO PUBLICADO INVÁLIDO",IF(IFERROR(OR(NOT(ISNUMBER($G280)),$G280&lt;0,MOD($G280,1)&lt;&gt;0),TRUE),"PEDIDOS PENDENTES INVÁLIDOS",IF(IFERROR(OR(NOT(ISNUMBER($R280)),$R280&gt;'Configurações'!$B$5),TRUE),"DATA INVÁLIDA","OK")))))))))))))</f>
        <v/>
      </c>
    </row>
    <row r="281">
      <c r="A281" s="21" t="n"/>
      <c r="B281" s="21" t="n"/>
      <c r="C281" s="27">
        <f>IFERROR(VLOOKUP($B281,'Estoque Central'!$A$6:$M$205,2,FALSE),"")</f>
        <v/>
      </c>
      <c r="D281" s="25">
        <f>IFERROR(VLOOKUP($B281,'Estoque Central'!$A$6:$M$205,3,FALSE),"")</f>
        <v/>
      </c>
      <c r="E281" s="21" t="n"/>
      <c r="F281" s="22" t="n"/>
      <c r="G281" s="22" t="n"/>
      <c r="H281" s="25">
        <f>IFERROR(VLOOKUP($E281,'Configurações'!$A$11:$F$20,2,FALSE),"")</f>
        <v/>
      </c>
      <c r="I281" s="28">
        <f>IFERROR(VLOOKUP($E281,'Configurações'!$A$11:$F$20,3,FALSE),"")</f>
        <v/>
      </c>
      <c r="J281" s="24">
        <f>IFERROR(VLOOKUP($E281,'Configurações'!$A$11:$F$20,4,FALSE),"")</f>
        <v/>
      </c>
      <c r="K281" s="24">
        <f>IFERROR(VLOOKUP($E281,'Configurações'!$A$11:$F$20,5,FALSE),"")</f>
        <v/>
      </c>
      <c r="L281" s="24">
        <f>IFERROR(VLOOKUP($B281,'Estoque Central'!$A$6:$M$205,9,FALSE),"")</f>
        <v/>
      </c>
      <c r="M281" s="24">
        <f>IF(COUNTA($A281:$B281,$E281:$G281,$R281)=0,"",IFERROR(IF(OR($C281="",$H281=""),"",IF(OR($D281&lt;&gt;"Ativo",$H281&lt;&gt;"Sim"),0,MIN(IF($J281="",$L281,$J281),ROUNDDOWN($L281*$I281,0)))),""))</f>
        <v/>
      </c>
      <c r="N281" s="24">
        <f>IF(OR($M281="",NOT(ISNUMBER($F281))),"",$M281-$F281)</f>
        <v/>
      </c>
      <c r="O281" s="25">
        <f>IF(COUNTA($A281:$B281,$E281:$G281,$R281)=0,"",IF($S281&lt;&gt;"OK","REVISAR CADASTRO",IF($N281&gt;0,"AUMENTAR",IF($N281&lt;0,"REDUZIR","SEM AÇÃO"))))</f>
        <v/>
      </c>
      <c r="P281" s="25">
        <f>IF(COUNTA($A281:$B281,$E281:$G281,$R281)=0,"",IF($S281&lt;&gt;"OK","REVISAR",IF(OR($D281&lt;&gt;"Ativo",$H281&lt;&gt;"Sim"),IF($F281&gt;0,"ALTO","SEM EXPOSIÇÃO"),IF(OR($F281&gt;$M281,SUMIFS($F$6:$F$305,$B$6:$B$305,$B281,$S$6:$S$305,"OK")&gt;$L281),"ALTO",IF(AND($F281&gt;0,$L281&lt;=$K281),"MÉDIO","BAIXO")))))</f>
        <v/>
      </c>
      <c r="Q281" s="25">
        <f>IF(COUNTA($A281:$B281,$E281:$G281,$R281)=0,"",IF($S281&lt;&gt;"OK","REVISAR",IF($O281="SEM AÇÃO","BAIXA",IF(OR($P281="ALTO",ABS($N281)&gt;='Configurações'!$B$3),"URGENTE",IF(OR($P281="MÉDIO",'Configurações'!$B$5-$R281&gt;'Configurações'!$B$4),"ALTA","NORMAL")))))</f>
        <v/>
      </c>
      <c r="R281" s="23" t="n"/>
      <c r="S281" s="25">
        <f>IF(COUNTA($A281:$B281,$E281:$G281,$R281)=0,"",IF($A281="","ID AUSENTE",IF(COUNTIF($A$6:$A$305,$A281)&gt;1,"ID DUPLICADO",IF($B281="","SKU AUSENTE",IF(COUNTIF('Estoque Central'!$A$6:$A$205,$B281)=0,"SKU NÃO CADASTRADO",IF(IFERROR(VLOOKUP($B281,'Estoque Central'!$A$6:$M$205,13,FALSE),"")&lt;&gt;"OK","ESTOQUE CENTRAL COM PENDÊNCIA",IF($E281="","CANAL AUSENTE",IF(COUNTIF('Configurações'!$A$11:$A$20,$E281)=0,"CANAL NÃO CONFIGURADO",IF(IFERROR(VLOOKUP($E281,'Configurações'!$A$11:$F$20,6,FALSE),"")&lt;&gt;"OK","CANAL COM PENDÊNCIA",IF(COUNTIFS($B$6:$B$305,$B281,$E$6:$E$305,$E281)&gt;1,"SKU/CANAL DUPLICADO",IF(IFERROR(OR(NOT(ISNUMBER($F281)),$F281&lt;0,MOD($F281,1)&lt;&gt;0),TRUE),"SALDO PUBLICADO INVÁLIDO",IF(IFERROR(OR(NOT(ISNUMBER($G281)),$G281&lt;0,MOD($G281,1)&lt;&gt;0),TRUE),"PEDIDOS PENDENTES INVÁLIDOS",IF(IFERROR(OR(NOT(ISNUMBER($R281)),$R281&gt;'Configurações'!$B$5),TRUE),"DATA INVÁLIDA","OK")))))))))))))</f>
        <v/>
      </c>
    </row>
    <row r="282">
      <c r="A282" s="21" t="n"/>
      <c r="B282" s="21" t="n"/>
      <c r="C282" s="27">
        <f>IFERROR(VLOOKUP($B282,'Estoque Central'!$A$6:$M$205,2,FALSE),"")</f>
        <v/>
      </c>
      <c r="D282" s="25">
        <f>IFERROR(VLOOKUP($B282,'Estoque Central'!$A$6:$M$205,3,FALSE),"")</f>
        <v/>
      </c>
      <c r="E282" s="21" t="n"/>
      <c r="F282" s="22" t="n"/>
      <c r="G282" s="22" t="n"/>
      <c r="H282" s="25">
        <f>IFERROR(VLOOKUP($E282,'Configurações'!$A$11:$F$20,2,FALSE),"")</f>
        <v/>
      </c>
      <c r="I282" s="28">
        <f>IFERROR(VLOOKUP($E282,'Configurações'!$A$11:$F$20,3,FALSE),"")</f>
        <v/>
      </c>
      <c r="J282" s="24">
        <f>IFERROR(VLOOKUP($E282,'Configurações'!$A$11:$F$20,4,FALSE),"")</f>
        <v/>
      </c>
      <c r="K282" s="24">
        <f>IFERROR(VLOOKUP($E282,'Configurações'!$A$11:$F$20,5,FALSE),"")</f>
        <v/>
      </c>
      <c r="L282" s="24">
        <f>IFERROR(VLOOKUP($B282,'Estoque Central'!$A$6:$M$205,9,FALSE),"")</f>
        <v/>
      </c>
      <c r="M282" s="24">
        <f>IF(COUNTA($A282:$B282,$E282:$G282,$R282)=0,"",IFERROR(IF(OR($C282="",$H282=""),"",IF(OR($D282&lt;&gt;"Ativo",$H282&lt;&gt;"Sim"),0,MIN(IF($J282="",$L282,$J282),ROUNDDOWN($L282*$I282,0)))),""))</f>
        <v/>
      </c>
      <c r="N282" s="24">
        <f>IF(OR($M282="",NOT(ISNUMBER($F282))),"",$M282-$F282)</f>
        <v/>
      </c>
      <c r="O282" s="25">
        <f>IF(COUNTA($A282:$B282,$E282:$G282,$R282)=0,"",IF($S282&lt;&gt;"OK","REVISAR CADASTRO",IF($N282&gt;0,"AUMENTAR",IF($N282&lt;0,"REDUZIR","SEM AÇÃO"))))</f>
        <v/>
      </c>
      <c r="P282" s="25">
        <f>IF(COUNTA($A282:$B282,$E282:$G282,$R282)=0,"",IF($S282&lt;&gt;"OK","REVISAR",IF(OR($D282&lt;&gt;"Ativo",$H282&lt;&gt;"Sim"),IF($F282&gt;0,"ALTO","SEM EXPOSIÇÃO"),IF(OR($F282&gt;$M282,SUMIFS($F$6:$F$305,$B$6:$B$305,$B282,$S$6:$S$305,"OK")&gt;$L282),"ALTO",IF(AND($F282&gt;0,$L282&lt;=$K282),"MÉDIO","BAIXO")))))</f>
        <v/>
      </c>
      <c r="Q282" s="25">
        <f>IF(COUNTA($A282:$B282,$E282:$G282,$R282)=0,"",IF($S282&lt;&gt;"OK","REVISAR",IF($O282="SEM AÇÃO","BAIXA",IF(OR($P282="ALTO",ABS($N282)&gt;='Configurações'!$B$3),"URGENTE",IF(OR($P282="MÉDIO",'Configurações'!$B$5-$R282&gt;'Configurações'!$B$4),"ALTA","NORMAL")))))</f>
        <v/>
      </c>
      <c r="R282" s="23" t="n"/>
      <c r="S282" s="25">
        <f>IF(COUNTA($A282:$B282,$E282:$G282,$R282)=0,"",IF($A282="","ID AUSENTE",IF(COUNTIF($A$6:$A$305,$A282)&gt;1,"ID DUPLICADO",IF($B282="","SKU AUSENTE",IF(COUNTIF('Estoque Central'!$A$6:$A$205,$B282)=0,"SKU NÃO CADASTRADO",IF(IFERROR(VLOOKUP($B282,'Estoque Central'!$A$6:$M$205,13,FALSE),"")&lt;&gt;"OK","ESTOQUE CENTRAL COM PENDÊNCIA",IF($E282="","CANAL AUSENTE",IF(COUNTIF('Configurações'!$A$11:$A$20,$E282)=0,"CANAL NÃO CONFIGURADO",IF(IFERROR(VLOOKUP($E282,'Configurações'!$A$11:$F$20,6,FALSE),"")&lt;&gt;"OK","CANAL COM PENDÊNCIA",IF(COUNTIFS($B$6:$B$305,$B282,$E$6:$E$305,$E282)&gt;1,"SKU/CANAL DUPLICADO",IF(IFERROR(OR(NOT(ISNUMBER($F282)),$F282&lt;0,MOD($F282,1)&lt;&gt;0),TRUE),"SALDO PUBLICADO INVÁLIDO",IF(IFERROR(OR(NOT(ISNUMBER($G282)),$G282&lt;0,MOD($G282,1)&lt;&gt;0),TRUE),"PEDIDOS PENDENTES INVÁLIDOS",IF(IFERROR(OR(NOT(ISNUMBER($R282)),$R282&gt;'Configurações'!$B$5),TRUE),"DATA INVÁLIDA","OK")))))))))))))</f>
        <v/>
      </c>
    </row>
    <row r="283">
      <c r="A283" s="21" t="n"/>
      <c r="B283" s="21" t="n"/>
      <c r="C283" s="27">
        <f>IFERROR(VLOOKUP($B283,'Estoque Central'!$A$6:$M$205,2,FALSE),"")</f>
        <v/>
      </c>
      <c r="D283" s="25">
        <f>IFERROR(VLOOKUP($B283,'Estoque Central'!$A$6:$M$205,3,FALSE),"")</f>
        <v/>
      </c>
      <c r="E283" s="21" t="n"/>
      <c r="F283" s="22" t="n"/>
      <c r="G283" s="22" t="n"/>
      <c r="H283" s="25">
        <f>IFERROR(VLOOKUP($E283,'Configurações'!$A$11:$F$20,2,FALSE),"")</f>
        <v/>
      </c>
      <c r="I283" s="28">
        <f>IFERROR(VLOOKUP($E283,'Configurações'!$A$11:$F$20,3,FALSE),"")</f>
        <v/>
      </c>
      <c r="J283" s="24">
        <f>IFERROR(VLOOKUP($E283,'Configurações'!$A$11:$F$20,4,FALSE),"")</f>
        <v/>
      </c>
      <c r="K283" s="24">
        <f>IFERROR(VLOOKUP($E283,'Configurações'!$A$11:$F$20,5,FALSE),"")</f>
        <v/>
      </c>
      <c r="L283" s="24">
        <f>IFERROR(VLOOKUP($B283,'Estoque Central'!$A$6:$M$205,9,FALSE),"")</f>
        <v/>
      </c>
      <c r="M283" s="24">
        <f>IF(COUNTA($A283:$B283,$E283:$G283,$R283)=0,"",IFERROR(IF(OR($C283="",$H283=""),"",IF(OR($D283&lt;&gt;"Ativo",$H283&lt;&gt;"Sim"),0,MIN(IF($J283="",$L283,$J283),ROUNDDOWN($L283*$I283,0)))),""))</f>
        <v/>
      </c>
      <c r="N283" s="24">
        <f>IF(OR($M283="",NOT(ISNUMBER($F283))),"",$M283-$F283)</f>
        <v/>
      </c>
      <c r="O283" s="25">
        <f>IF(COUNTA($A283:$B283,$E283:$G283,$R283)=0,"",IF($S283&lt;&gt;"OK","REVISAR CADASTRO",IF($N283&gt;0,"AUMENTAR",IF($N283&lt;0,"REDUZIR","SEM AÇÃO"))))</f>
        <v/>
      </c>
      <c r="P283" s="25">
        <f>IF(COUNTA($A283:$B283,$E283:$G283,$R283)=0,"",IF($S283&lt;&gt;"OK","REVISAR",IF(OR($D283&lt;&gt;"Ativo",$H283&lt;&gt;"Sim"),IF($F283&gt;0,"ALTO","SEM EXPOSIÇÃO"),IF(OR($F283&gt;$M283,SUMIFS($F$6:$F$305,$B$6:$B$305,$B283,$S$6:$S$305,"OK")&gt;$L283),"ALTO",IF(AND($F283&gt;0,$L283&lt;=$K283),"MÉDIO","BAIXO")))))</f>
        <v/>
      </c>
      <c r="Q283" s="25">
        <f>IF(COUNTA($A283:$B283,$E283:$G283,$R283)=0,"",IF($S283&lt;&gt;"OK","REVISAR",IF($O283="SEM AÇÃO","BAIXA",IF(OR($P283="ALTO",ABS($N283)&gt;='Configurações'!$B$3),"URGENTE",IF(OR($P283="MÉDIO",'Configurações'!$B$5-$R283&gt;'Configurações'!$B$4),"ALTA","NORMAL")))))</f>
        <v/>
      </c>
      <c r="R283" s="23" t="n"/>
      <c r="S283" s="25">
        <f>IF(COUNTA($A283:$B283,$E283:$G283,$R283)=0,"",IF($A283="","ID AUSENTE",IF(COUNTIF($A$6:$A$305,$A283)&gt;1,"ID DUPLICADO",IF($B283="","SKU AUSENTE",IF(COUNTIF('Estoque Central'!$A$6:$A$205,$B283)=0,"SKU NÃO CADASTRADO",IF(IFERROR(VLOOKUP($B283,'Estoque Central'!$A$6:$M$205,13,FALSE),"")&lt;&gt;"OK","ESTOQUE CENTRAL COM PENDÊNCIA",IF($E283="","CANAL AUSENTE",IF(COUNTIF('Configurações'!$A$11:$A$20,$E283)=0,"CANAL NÃO CONFIGURADO",IF(IFERROR(VLOOKUP($E283,'Configurações'!$A$11:$F$20,6,FALSE),"")&lt;&gt;"OK","CANAL COM PENDÊNCIA",IF(COUNTIFS($B$6:$B$305,$B283,$E$6:$E$305,$E283)&gt;1,"SKU/CANAL DUPLICADO",IF(IFERROR(OR(NOT(ISNUMBER($F283)),$F283&lt;0,MOD($F283,1)&lt;&gt;0),TRUE),"SALDO PUBLICADO INVÁLIDO",IF(IFERROR(OR(NOT(ISNUMBER($G283)),$G283&lt;0,MOD($G283,1)&lt;&gt;0),TRUE),"PEDIDOS PENDENTES INVÁLIDOS",IF(IFERROR(OR(NOT(ISNUMBER($R283)),$R283&gt;'Configurações'!$B$5),TRUE),"DATA INVÁLIDA","OK")))))))))))))</f>
        <v/>
      </c>
    </row>
    <row r="284">
      <c r="A284" s="21" t="n"/>
      <c r="B284" s="21" t="n"/>
      <c r="C284" s="27">
        <f>IFERROR(VLOOKUP($B284,'Estoque Central'!$A$6:$M$205,2,FALSE),"")</f>
        <v/>
      </c>
      <c r="D284" s="25">
        <f>IFERROR(VLOOKUP($B284,'Estoque Central'!$A$6:$M$205,3,FALSE),"")</f>
        <v/>
      </c>
      <c r="E284" s="21" t="n"/>
      <c r="F284" s="22" t="n"/>
      <c r="G284" s="22" t="n"/>
      <c r="H284" s="25">
        <f>IFERROR(VLOOKUP($E284,'Configurações'!$A$11:$F$20,2,FALSE),"")</f>
        <v/>
      </c>
      <c r="I284" s="28">
        <f>IFERROR(VLOOKUP($E284,'Configurações'!$A$11:$F$20,3,FALSE),"")</f>
        <v/>
      </c>
      <c r="J284" s="24">
        <f>IFERROR(VLOOKUP($E284,'Configurações'!$A$11:$F$20,4,FALSE),"")</f>
        <v/>
      </c>
      <c r="K284" s="24">
        <f>IFERROR(VLOOKUP($E284,'Configurações'!$A$11:$F$20,5,FALSE),"")</f>
        <v/>
      </c>
      <c r="L284" s="24">
        <f>IFERROR(VLOOKUP($B284,'Estoque Central'!$A$6:$M$205,9,FALSE),"")</f>
        <v/>
      </c>
      <c r="M284" s="24">
        <f>IF(COUNTA($A284:$B284,$E284:$G284,$R284)=0,"",IFERROR(IF(OR($C284="",$H284=""),"",IF(OR($D284&lt;&gt;"Ativo",$H284&lt;&gt;"Sim"),0,MIN(IF($J284="",$L284,$J284),ROUNDDOWN($L284*$I284,0)))),""))</f>
        <v/>
      </c>
      <c r="N284" s="24">
        <f>IF(OR($M284="",NOT(ISNUMBER($F284))),"",$M284-$F284)</f>
        <v/>
      </c>
      <c r="O284" s="25">
        <f>IF(COUNTA($A284:$B284,$E284:$G284,$R284)=0,"",IF($S284&lt;&gt;"OK","REVISAR CADASTRO",IF($N284&gt;0,"AUMENTAR",IF($N284&lt;0,"REDUZIR","SEM AÇÃO"))))</f>
        <v/>
      </c>
      <c r="P284" s="25">
        <f>IF(COUNTA($A284:$B284,$E284:$G284,$R284)=0,"",IF($S284&lt;&gt;"OK","REVISAR",IF(OR($D284&lt;&gt;"Ativo",$H284&lt;&gt;"Sim"),IF($F284&gt;0,"ALTO","SEM EXPOSIÇÃO"),IF(OR($F284&gt;$M284,SUMIFS($F$6:$F$305,$B$6:$B$305,$B284,$S$6:$S$305,"OK")&gt;$L284),"ALTO",IF(AND($F284&gt;0,$L284&lt;=$K284),"MÉDIO","BAIXO")))))</f>
        <v/>
      </c>
      <c r="Q284" s="25">
        <f>IF(COUNTA($A284:$B284,$E284:$G284,$R284)=0,"",IF($S284&lt;&gt;"OK","REVISAR",IF($O284="SEM AÇÃO","BAIXA",IF(OR($P284="ALTO",ABS($N284)&gt;='Configurações'!$B$3),"URGENTE",IF(OR($P284="MÉDIO",'Configurações'!$B$5-$R284&gt;'Configurações'!$B$4),"ALTA","NORMAL")))))</f>
        <v/>
      </c>
      <c r="R284" s="23" t="n"/>
      <c r="S284" s="25">
        <f>IF(COUNTA($A284:$B284,$E284:$G284,$R284)=0,"",IF($A284="","ID AUSENTE",IF(COUNTIF($A$6:$A$305,$A284)&gt;1,"ID DUPLICADO",IF($B284="","SKU AUSENTE",IF(COUNTIF('Estoque Central'!$A$6:$A$205,$B284)=0,"SKU NÃO CADASTRADO",IF(IFERROR(VLOOKUP($B284,'Estoque Central'!$A$6:$M$205,13,FALSE),"")&lt;&gt;"OK","ESTOQUE CENTRAL COM PENDÊNCIA",IF($E284="","CANAL AUSENTE",IF(COUNTIF('Configurações'!$A$11:$A$20,$E284)=0,"CANAL NÃO CONFIGURADO",IF(IFERROR(VLOOKUP($E284,'Configurações'!$A$11:$F$20,6,FALSE),"")&lt;&gt;"OK","CANAL COM PENDÊNCIA",IF(COUNTIFS($B$6:$B$305,$B284,$E$6:$E$305,$E284)&gt;1,"SKU/CANAL DUPLICADO",IF(IFERROR(OR(NOT(ISNUMBER($F284)),$F284&lt;0,MOD($F284,1)&lt;&gt;0),TRUE),"SALDO PUBLICADO INVÁLIDO",IF(IFERROR(OR(NOT(ISNUMBER($G284)),$G284&lt;0,MOD($G284,1)&lt;&gt;0),TRUE),"PEDIDOS PENDENTES INVÁLIDOS",IF(IFERROR(OR(NOT(ISNUMBER($R284)),$R284&gt;'Configurações'!$B$5),TRUE),"DATA INVÁLIDA","OK")))))))))))))</f>
        <v/>
      </c>
    </row>
    <row r="285">
      <c r="A285" s="21" t="n"/>
      <c r="B285" s="21" t="n"/>
      <c r="C285" s="27">
        <f>IFERROR(VLOOKUP($B285,'Estoque Central'!$A$6:$M$205,2,FALSE),"")</f>
        <v/>
      </c>
      <c r="D285" s="25">
        <f>IFERROR(VLOOKUP($B285,'Estoque Central'!$A$6:$M$205,3,FALSE),"")</f>
        <v/>
      </c>
      <c r="E285" s="21" t="n"/>
      <c r="F285" s="22" t="n"/>
      <c r="G285" s="22" t="n"/>
      <c r="H285" s="25">
        <f>IFERROR(VLOOKUP($E285,'Configurações'!$A$11:$F$20,2,FALSE),"")</f>
        <v/>
      </c>
      <c r="I285" s="28">
        <f>IFERROR(VLOOKUP($E285,'Configurações'!$A$11:$F$20,3,FALSE),"")</f>
        <v/>
      </c>
      <c r="J285" s="24">
        <f>IFERROR(VLOOKUP($E285,'Configurações'!$A$11:$F$20,4,FALSE),"")</f>
        <v/>
      </c>
      <c r="K285" s="24">
        <f>IFERROR(VLOOKUP($E285,'Configurações'!$A$11:$F$20,5,FALSE),"")</f>
        <v/>
      </c>
      <c r="L285" s="24">
        <f>IFERROR(VLOOKUP($B285,'Estoque Central'!$A$6:$M$205,9,FALSE),"")</f>
        <v/>
      </c>
      <c r="M285" s="24">
        <f>IF(COUNTA($A285:$B285,$E285:$G285,$R285)=0,"",IFERROR(IF(OR($C285="",$H285=""),"",IF(OR($D285&lt;&gt;"Ativo",$H285&lt;&gt;"Sim"),0,MIN(IF($J285="",$L285,$J285),ROUNDDOWN($L285*$I285,0)))),""))</f>
        <v/>
      </c>
      <c r="N285" s="24">
        <f>IF(OR($M285="",NOT(ISNUMBER($F285))),"",$M285-$F285)</f>
        <v/>
      </c>
      <c r="O285" s="25">
        <f>IF(COUNTA($A285:$B285,$E285:$G285,$R285)=0,"",IF($S285&lt;&gt;"OK","REVISAR CADASTRO",IF($N285&gt;0,"AUMENTAR",IF($N285&lt;0,"REDUZIR","SEM AÇÃO"))))</f>
        <v/>
      </c>
      <c r="P285" s="25">
        <f>IF(COUNTA($A285:$B285,$E285:$G285,$R285)=0,"",IF($S285&lt;&gt;"OK","REVISAR",IF(OR($D285&lt;&gt;"Ativo",$H285&lt;&gt;"Sim"),IF($F285&gt;0,"ALTO","SEM EXPOSIÇÃO"),IF(OR($F285&gt;$M285,SUMIFS($F$6:$F$305,$B$6:$B$305,$B285,$S$6:$S$305,"OK")&gt;$L285),"ALTO",IF(AND($F285&gt;0,$L285&lt;=$K285),"MÉDIO","BAIXO")))))</f>
        <v/>
      </c>
      <c r="Q285" s="25">
        <f>IF(COUNTA($A285:$B285,$E285:$G285,$R285)=0,"",IF($S285&lt;&gt;"OK","REVISAR",IF($O285="SEM AÇÃO","BAIXA",IF(OR($P285="ALTO",ABS($N285)&gt;='Configurações'!$B$3),"URGENTE",IF(OR($P285="MÉDIO",'Configurações'!$B$5-$R285&gt;'Configurações'!$B$4),"ALTA","NORMAL")))))</f>
        <v/>
      </c>
      <c r="R285" s="23" t="n"/>
      <c r="S285" s="25">
        <f>IF(COUNTA($A285:$B285,$E285:$G285,$R285)=0,"",IF($A285="","ID AUSENTE",IF(COUNTIF($A$6:$A$305,$A285)&gt;1,"ID DUPLICADO",IF($B285="","SKU AUSENTE",IF(COUNTIF('Estoque Central'!$A$6:$A$205,$B285)=0,"SKU NÃO CADASTRADO",IF(IFERROR(VLOOKUP($B285,'Estoque Central'!$A$6:$M$205,13,FALSE),"")&lt;&gt;"OK","ESTOQUE CENTRAL COM PENDÊNCIA",IF($E285="","CANAL AUSENTE",IF(COUNTIF('Configurações'!$A$11:$A$20,$E285)=0,"CANAL NÃO CONFIGURADO",IF(IFERROR(VLOOKUP($E285,'Configurações'!$A$11:$F$20,6,FALSE),"")&lt;&gt;"OK","CANAL COM PENDÊNCIA",IF(COUNTIFS($B$6:$B$305,$B285,$E$6:$E$305,$E285)&gt;1,"SKU/CANAL DUPLICADO",IF(IFERROR(OR(NOT(ISNUMBER($F285)),$F285&lt;0,MOD($F285,1)&lt;&gt;0),TRUE),"SALDO PUBLICADO INVÁLIDO",IF(IFERROR(OR(NOT(ISNUMBER($G285)),$G285&lt;0,MOD($G285,1)&lt;&gt;0),TRUE),"PEDIDOS PENDENTES INVÁLIDOS",IF(IFERROR(OR(NOT(ISNUMBER($R285)),$R285&gt;'Configurações'!$B$5),TRUE),"DATA INVÁLIDA","OK")))))))))))))</f>
        <v/>
      </c>
    </row>
    <row r="286">
      <c r="A286" s="21" t="n"/>
      <c r="B286" s="21" t="n"/>
      <c r="C286" s="27">
        <f>IFERROR(VLOOKUP($B286,'Estoque Central'!$A$6:$M$205,2,FALSE),"")</f>
        <v/>
      </c>
      <c r="D286" s="25">
        <f>IFERROR(VLOOKUP($B286,'Estoque Central'!$A$6:$M$205,3,FALSE),"")</f>
        <v/>
      </c>
      <c r="E286" s="21" t="n"/>
      <c r="F286" s="22" t="n"/>
      <c r="G286" s="22" t="n"/>
      <c r="H286" s="25">
        <f>IFERROR(VLOOKUP($E286,'Configurações'!$A$11:$F$20,2,FALSE),"")</f>
        <v/>
      </c>
      <c r="I286" s="28">
        <f>IFERROR(VLOOKUP($E286,'Configurações'!$A$11:$F$20,3,FALSE),"")</f>
        <v/>
      </c>
      <c r="J286" s="24">
        <f>IFERROR(VLOOKUP($E286,'Configurações'!$A$11:$F$20,4,FALSE),"")</f>
        <v/>
      </c>
      <c r="K286" s="24">
        <f>IFERROR(VLOOKUP($E286,'Configurações'!$A$11:$F$20,5,FALSE),"")</f>
        <v/>
      </c>
      <c r="L286" s="24">
        <f>IFERROR(VLOOKUP($B286,'Estoque Central'!$A$6:$M$205,9,FALSE),"")</f>
        <v/>
      </c>
      <c r="M286" s="24">
        <f>IF(COUNTA($A286:$B286,$E286:$G286,$R286)=0,"",IFERROR(IF(OR($C286="",$H286=""),"",IF(OR($D286&lt;&gt;"Ativo",$H286&lt;&gt;"Sim"),0,MIN(IF($J286="",$L286,$J286),ROUNDDOWN($L286*$I286,0)))),""))</f>
        <v/>
      </c>
      <c r="N286" s="24">
        <f>IF(OR($M286="",NOT(ISNUMBER($F286))),"",$M286-$F286)</f>
        <v/>
      </c>
      <c r="O286" s="25">
        <f>IF(COUNTA($A286:$B286,$E286:$G286,$R286)=0,"",IF($S286&lt;&gt;"OK","REVISAR CADASTRO",IF($N286&gt;0,"AUMENTAR",IF($N286&lt;0,"REDUZIR","SEM AÇÃO"))))</f>
        <v/>
      </c>
      <c r="P286" s="25">
        <f>IF(COUNTA($A286:$B286,$E286:$G286,$R286)=0,"",IF($S286&lt;&gt;"OK","REVISAR",IF(OR($D286&lt;&gt;"Ativo",$H286&lt;&gt;"Sim"),IF($F286&gt;0,"ALTO","SEM EXPOSIÇÃO"),IF(OR($F286&gt;$M286,SUMIFS($F$6:$F$305,$B$6:$B$305,$B286,$S$6:$S$305,"OK")&gt;$L286),"ALTO",IF(AND($F286&gt;0,$L286&lt;=$K286),"MÉDIO","BAIXO")))))</f>
        <v/>
      </c>
      <c r="Q286" s="25">
        <f>IF(COUNTA($A286:$B286,$E286:$G286,$R286)=0,"",IF($S286&lt;&gt;"OK","REVISAR",IF($O286="SEM AÇÃO","BAIXA",IF(OR($P286="ALTO",ABS($N286)&gt;='Configurações'!$B$3),"URGENTE",IF(OR($P286="MÉDIO",'Configurações'!$B$5-$R286&gt;'Configurações'!$B$4),"ALTA","NORMAL")))))</f>
        <v/>
      </c>
      <c r="R286" s="23" t="n"/>
      <c r="S286" s="25">
        <f>IF(COUNTA($A286:$B286,$E286:$G286,$R286)=0,"",IF($A286="","ID AUSENTE",IF(COUNTIF($A$6:$A$305,$A286)&gt;1,"ID DUPLICADO",IF($B286="","SKU AUSENTE",IF(COUNTIF('Estoque Central'!$A$6:$A$205,$B286)=0,"SKU NÃO CADASTRADO",IF(IFERROR(VLOOKUP($B286,'Estoque Central'!$A$6:$M$205,13,FALSE),"")&lt;&gt;"OK","ESTOQUE CENTRAL COM PENDÊNCIA",IF($E286="","CANAL AUSENTE",IF(COUNTIF('Configurações'!$A$11:$A$20,$E286)=0,"CANAL NÃO CONFIGURADO",IF(IFERROR(VLOOKUP($E286,'Configurações'!$A$11:$F$20,6,FALSE),"")&lt;&gt;"OK","CANAL COM PENDÊNCIA",IF(COUNTIFS($B$6:$B$305,$B286,$E$6:$E$305,$E286)&gt;1,"SKU/CANAL DUPLICADO",IF(IFERROR(OR(NOT(ISNUMBER($F286)),$F286&lt;0,MOD($F286,1)&lt;&gt;0),TRUE),"SALDO PUBLICADO INVÁLIDO",IF(IFERROR(OR(NOT(ISNUMBER($G286)),$G286&lt;0,MOD($G286,1)&lt;&gt;0),TRUE),"PEDIDOS PENDENTES INVÁLIDOS",IF(IFERROR(OR(NOT(ISNUMBER($R286)),$R286&gt;'Configurações'!$B$5),TRUE),"DATA INVÁLIDA","OK")))))))))))))</f>
        <v/>
      </c>
    </row>
    <row r="287">
      <c r="A287" s="21" t="n"/>
      <c r="B287" s="21" t="n"/>
      <c r="C287" s="27">
        <f>IFERROR(VLOOKUP($B287,'Estoque Central'!$A$6:$M$205,2,FALSE),"")</f>
        <v/>
      </c>
      <c r="D287" s="25">
        <f>IFERROR(VLOOKUP($B287,'Estoque Central'!$A$6:$M$205,3,FALSE),"")</f>
        <v/>
      </c>
      <c r="E287" s="21" t="n"/>
      <c r="F287" s="22" t="n"/>
      <c r="G287" s="22" t="n"/>
      <c r="H287" s="25">
        <f>IFERROR(VLOOKUP($E287,'Configurações'!$A$11:$F$20,2,FALSE),"")</f>
        <v/>
      </c>
      <c r="I287" s="28">
        <f>IFERROR(VLOOKUP($E287,'Configurações'!$A$11:$F$20,3,FALSE),"")</f>
        <v/>
      </c>
      <c r="J287" s="24">
        <f>IFERROR(VLOOKUP($E287,'Configurações'!$A$11:$F$20,4,FALSE),"")</f>
        <v/>
      </c>
      <c r="K287" s="24">
        <f>IFERROR(VLOOKUP($E287,'Configurações'!$A$11:$F$20,5,FALSE),"")</f>
        <v/>
      </c>
      <c r="L287" s="24">
        <f>IFERROR(VLOOKUP($B287,'Estoque Central'!$A$6:$M$205,9,FALSE),"")</f>
        <v/>
      </c>
      <c r="M287" s="24">
        <f>IF(COUNTA($A287:$B287,$E287:$G287,$R287)=0,"",IFERROR(IF(OR($C287="",$H287=""),"",IF(OR($D287&lt;&gt;"Ativo",$H287&lt;&gt;"Sim"),0,MIN(IF($J287="",$L287,$J287),ROUNDDOWN($L287*$I287,0)))),""))</f>
        <v/>
      </c>
      <c r="N287" s="24">
        <f>IF(OR($M287="",NOT(ISNUMBER($F287))),"",$M287-$F287)</f>
        <v/>
      </c>
      <c r="O287" s="25">
        <f>IF(COUNTA($A287:$B287,$E287:$G287,$R287)=0,"",IF($S287&lt;&gt;"OK","REVISAR CADASTRO",IF($N287&gt;0,"AUMENTAR",IF($N287&lt;0,"REDUZIR","SEM AÇÃO"))))</f>
        <v/>
      </c>
      <c r="P287" s="25">
        <f>IF(COUNTA($A287:$B287,$E287:$G287,$R287)=0,"",IF($S287&lt;&gt;"OK","REVISAR",IF(OR($D287&lt;&gt;"Ativo",$H287&lt;&gt;"Sim"),IF($F287&gt;0,"ALTO","SEM EXPOSIÇÃO"),IF(OR($F287&gt;$M287,SUMIFS($F$6:$F$305,$B$6:$B$305,$B287,$S$6:$S$305,"OK")&gt;$L287),"ALTO",IF(AND($F287&gt;0,$L287&lt;=$K287),"MÉDIO","BAIXO")))))</f>
        <v/>
      </c>
      <c r="Q287" s="25">
        <f>IF(COUNTA($A287:$B287,$E287:$G287,$R287)=0,"",IF($S287&lt;&gt;"OK","REVISAR",IF($O287="SEM AÇÃO","BAIXA",IF(OR($P287="ALTO",ABS($N287)&gt;='Configurações'!$B$3),"URGENTE",IF(OR($P287="MÉDIO",'Configurações'!$B$5-$R287&gt;'Configurações'!$B$4),"ALTA","NORMAL")))))</f>
        <v/>
      </c>
      <c r="R287" s="23" t="n"/>
      <c r="S287" s="25">
        <f>IF(COUNTA($A287:$B287,$E287:$G287,$R287)=0,"",IF($A287="","ID AUSENTE",IF(COUNTIF($A$6:$A$305,$A287)&gt;1,"ID DUPLICADO",IF($B287="","SKU AUSENTE",IF(COUNTIF('Estoque Central'!$A$6:$A$205,$B287)=0,"SKU NÃO CADASTRADO",IF(IFERROR(VLOOKUP($B287,'Estoque Central'!$A$6:$M$205,13,FALSE),"")&lt;&gt;"OK","ESTOQUE CENTRAL COM PENDÊNCIA",IF($E287="","CANAL AUSENTE",IF(COUNTIF('Configurações'!$A$11:$A$20,$E287)=0,"CANAL NÃO CONFIGURADO",IF(IFERROR(VLOOKUP($E287,'Configurações'!$A$11:$F$20,6,FALSE),"")&lt;&gt;"OK","CANAL COM PENDÊNCIA",IF(COUNTIFS($B$6:$B$305,$B287,$E$6:$E$305,$E287)&gt;1,"SKU/CANAL DUPLICADO",IF(IFERROR(OR(NOT(ISNUMBER($F287)),$F287&lt;0,MOD($F287,1)&lt;&gt;0),TRUE),"SALDO PUBLICADO INVÁLIDO",IF(IFERROR(OR(NOT(ISNUMBER($G287)),$G287&lt;0,MOD($G287,1)&lt;&gt;0),TRUE),"PEDIDOS PENDENTES INVÁLIDOS",IF(IFERROR(OR(NOT(ISNUMBER($R287)),$R287&gt;'Configurações'!$B$5),TRUE),"DATA INVÁLIDA","OK")))))))))))))</f>
        <v/>
      </c>
    </row>
    <row r="288">
      <c r="A288" s="21" t="n"/>
      <c r="B288" s="21" t="n"/>
      <c r="C288" s="27">
        <f>IFERROR(VLOOKUP($B288,'Estoque Central'!$A$6:$M$205,2,FALSE),"")</f>
        <v/>
      </c>
      <c r="D288" s="25">
        <f>IFERROR(VLOOKUP($B288,'Estoque Central'!$A$6:$M$205,3,FALSE),"")</f>
        <v/>
      </c>
      <c r="E288" s="21" t="n"/>
      <c r="F288" s="22" t="n"/>
      <c r="G288" s="22" t="n"/>
      <c r="H288" s="25">
        <f>IFERROR(VLOOKUP($E288,'Configurações'!$A$11:$F$20,2,FALSE),"")</f>
        <v/>
      </c>
      <c r="I288" s="28">
        <f>IFERROR(VLOOKUP($E288,'Configurações'!$A$11:$F$20,3,FALSE),"")</f>
        <v/>
      </c>
      <c r="J288" s="24">
        <f>IFERROR(VLOOKUP($E288,'Configurações'!$A$11:$F$20,4,FALSE),"")</f>
        <v/>
      </c>
      <c r="K288" s="24">
        <f>IFERROR(VLOOKUP($E288,'Configurações'!$A$11:$F$20,5,FALSE),"")</f>
        <v/>
      </c>
      <c r="L288" s="24">
        <f>IFERROR(VLOOKUP($B288,'Estoque Central'!$A$6:$M$205,9,FALSE),"")</f>
        <v/>
      </c>
      <c r="M288" s="24">
        <f>IF(COUNTA($A288:$B288,$E288:$G288,$R288)=0,"",IFERROR(IF(OR($C288="",$H288=""),"",IF(OR($D288&lt;&gt;"Ativo",$H288&lt;&gt;"Sim"),0,MIN(IF($J288="",$L288,$J288),ROUNDDOWN($L288*$I288,0)))),""))</f>
        <v/>
      </c>
      <c r="N288" s="24">
        <f>IF(OR($M288="",NOT(ISNUMBER($F288))),"",$M288-$F288)</f>
        <v/>
      </c>
      <c r="O288" s="25">
        <f>IF(COUNTA($A288:$B288,$E288:$G288,$R288)=0,"",IF($S288&lt;&gt;"OK","REVISAR CADASTRO",IF($N288&gt;0,"AUMENTAR",IF($N288&lt;0,"REDUZIR","SEM AÇÃO"))))</f>
        <v/>
      </c>
      <c r="P288" s="25">
        <f>IF(COUNTA($A288:$B288,$E288:$G288,$R288)=0,"",IF($S288&lt;&gt;"OK","REVISAR",IF(OR($D288&lt;&gt;"Ativo",$H288&lt;&gt;"Sim"),IF($F288&gt;0,"ALTO","SEM EXPOSIÇÃO"),IF(OR($F288&gt;$M288,SUMIFS($F$6:$F$305,$B$6:$B$305,$B288,$S$6:$S$305,"OK")&gt;$L288),"ALTO",IF(AND($F288&gt;0,$L288&lt;=$K288),"MÉDIO","BAIXO")))))</f>
        <v/>
      </c>
      <c r="Q288" s="25">
        <f>IF(COUNTA($A288:$B288,$E288:$G288,$R288)=0,"",IF($S288&lt;&gt;"OK","REVISAR",IF($O288="SEM AÇÃO","BAIXA",IF(OR($P288="ALTO",ABS($N288)&gt;='Configurações'!$B$3),"URGENTE",IF(OR($P288="MÉDIO",'Configurações'!$B$5-$R288&gt;'Configurações'!$B$4),"ALTA","NORMAL")))))</f>
        <v/>
      </c>
      <c r="R288" s="23" t="n"/>
      <c r="S288" s="25">
        <f>IF(COUNTA($A288:$B288,$E288:$G288,$R288)=0,"",IF($A288="","ID AUSENTE",IF(COUNTIF($A$6:$A$305,$A288)&gt;1,"ID DUPLICADO",IF($B288="","SKU AUSENTE",IF(COUNTIF('Estoque Central'!$A$6:$A$205,$B288)=0,"SKU NÃO CADASTRADO",IF(IFERROR(VLOOKUP($B288,'Estoque Central'!$A$6:$M$205,13,FALSE),"")&lt;&gt;"OK","ESTOQUE CENTRAL COM PENDÊNCIA",IF($E288="","CANAL AUSENTE",IF(COUNTIF('Configurações'!$A$11:$A$20,$E288)=0,"CANAL NÃO CONFIGURADO",IF(IFERROR(VLOOKUP($E288,'Configurações'!$A$11:$F$20,6,FALSE),"")&lt;&gt;"OK","CANAL COM PENDÊNCIA",IF(COUNTIFS($B$6:$B$305,$B288,$E$6:$E$305,$E288)&gt;1,"SKU/CANAL DUPLICADO",IF(IFERROR(OR(NOT(ISNUMBER($F288)),$F288&lt;0,MOD($F288,1)&lt;&gt;0),TRUE),"SALDO PUBLICADO INVÁLIDO",IF(IFERROR(OR(NOT(ISNUMBER($G288)),$G288&lt;0,MOD($G288,1)&lt;&gt;0),TRUE),"PEDIDOS PENDENTES INVÁLIDOS",IF(IFERROR(OR(NOT(ISNUMBER($R288)),$R288&gt;'Configurações'!$B$5),TRUE),"DATA INVÁLIDA","OK")))))))))))))</f>
        <v/>
      </c>
    </row>
    <row r="289">
      <c r="A289" s="21" t="n"/>
      <c r="B289" s="21" t="n"/>
      <c r="C289" s="27">
        <f>IFERROR(VLOOKUP($B289,'Estoque Central'!$A$6:$M$205,2,FALSE),"")</f>
        <v/>
      </c>
      <c r="D289" s="25">
        <f>IFERROR(VLOOKUP($B289,'Estoque Central'!$A$6:$M$205,3,FALSE),"")</f>
        <v/>
      </c>
      <c r="E289" s="21" t="n"/>
      <c r="F289" s="22" t="n"/>
      <c r="G289" s="22" t="n"/>
      <c r="H289" s="25">
        <f>IFERROR(VLOOKUP($E289,'Configurações'!$A$11:$F$20,2,FALSE),"")</f>
        <v/>
      </c>
      <c r="I289" s="28">
        <f>IFERROR(VLOOKUP($E289,'Configurações'!$A$11:$F$20,3,FALSE),"")</f>
        <v/>
      </c>
      <c r="J289" s="24">
        <f>IFERROR(VLOOKUP($E289,'Configurações'!$A$11:$F$20,4,FALSE),"")</f>
        <v/>
      </c>
      <c r="K289" s="24">
        <f>IFERROR(VLOOKUP($E289,'Configurações'!$A$11:$F$20,5,FALSE),"")</f>
        <v/>
      </c>
      <c r="L289" s="24">
        <f>IFERROR(VLOOKUP($B289,'Estoque Central'!$A$6:$M$205,9,FALSE),"")</f>
        <v/>
      </c>
      <c r="M289" s="24">
        <f>IF(COUNTA($A289:$B289,$E289:$G289,$R289)=0,"",IFERROR(IF(OR($C289="",$H289=""),"",IF(OR($D289&lt;&gt;"Ativo",$H289&lt;&gt;"Sim"),0,MIN(IF($J289="",$L289,$J289),ROUNDDOWN($L289*$I289,0)))),""))</f>
        <v/>
      </c>
      <c r="N289" s="24">
        <f>IF(OR($M289="",NOT(ISNUMBER($F289))),"",$M289-$F289)</f>
        <v/>
      </c>
      <c r="O289" s="25">
        <f>IF(COUNTA($A289:$B289,$E289:$G289,$R289)=0,"",IF($S289&lt;&gt;"OK","REVISAR CADASTRO",IF($N289&gt;0,"AUMENTAR",IF($N289&lt;0,"REDUZIR","SEM AÇÃO"))))</f>
        <v/>
      </c>
      <c r="P289" s="25">
        <f>IF(COUNTA($A289:$B289,$E289:$G289,$R289)=0,"",IF($S289&lt;&gt;"OK","REVISAR",IF(OR($D289&lt;&gt;"Ativo",$H289&lt;&gt;"Sim"),IF($F289&gt;0,"ALTO","SEM EXPOSIÇÃO"),IF(OR($F289&gt;$M289,SUMIFS($F$6:$F$305,$B$6:$B$305,$B289,$S$6:$S$305,"OK")&gt;$L289),"ALTO",IF(AND($F289&gt;0,$L289&lt;=$K289),"MÉDIO","BAIXO")))))</f>
        <v/>
      </c>
      <c r="Q289" s="25">
        <f>IF(COUNTA($A289:$B289,$E289:$G289,$R289)=0,"",IF($S289&lt;&gt;"OK","REVISAR",IF($O289="SEM AÇÃO","BAIXA",IF(OR($P289="ALTO",ABS($N289)&gt;='Configurações'!$B$3),"URGENTE",IF(OR($P289="MÉDIO",'Configurações'!$B$5-$R289&gt;'Configurações'!$B$4),"ALTA","NORMAL")))))</f>
        <v/>
      </c>
      <c r="R289" s="23" t="n"/>
      <c r="S289" s="25">
        <f>IF(COUNTA($A289:$B289,$E289:$G289,$R289)=0,"",IF($A289="","ID AUSENTE",IF(COUNTIF($A$6:$A$305,$A289)&gt;1,"ID DUPLICADO",IF($B289="","SKU AUSENTE",IF(COUNTIF('Estoque Central'!$A$6:$A$205,$B289)=0,"SKU NÃO CADASTRADO",IF(IFERROR(VLOOKUP($B289,'Estoque Central'!$A$6:$M$205,13,FALSE),"")&lt;&gt;"OK","ESTOQUE CENTRAL COM PENDÊNCIA",IF($E289="","CANAL AUSENTE",IF(COUNTIF('Configurações'!$A$11:$A$20,$E289)=0,"CANAL NÃO CONFIGURADO",IF(IFERROR(VLOOKUP($E289,'Configurações'!$A$11:$F$20,6,FALSE),"")&lt;&gt;"OK","CANAL COM PENDÊNCIA",IF(COUNTIFS($B$6:$B$305,$B289,$E$6:$E$305,$E289)&gt;1,"SKU/CANAL DUPLICADO",IF(IFERROR(OR(NOT(ISNUMBER($F289)),$F289&lt;0,MOD($F289,1)&lt;&gt;0),TRUE),"SALDO PUBLICADO INVÁLIDO",IF(IFERROR(OR(NOT(ISNUMBER($G289)),$G289&lt;0,MOD($G289,1)&lt;&gt;0),TRUE),"PEDIDOS PENDENTES INVÁLIDOS",IF(IFERROR(OR(NOT(ISNUMBER($R289)),$R289&gt;'Configurações'!$B$5),TRUE),"DATA INVÁLIDA","OK")))))))))))))</f>
        <v/>
      </c>
    </row>
    <row r="290">
      <c r="A290" s="21" t="n"/>
      <c r="B290" s="21" t="n"/>
      <c r="C290" s="27">
        <f>IFERROR(VLOOKUP($B290,'Estoque Central'!$A$6:$M$205,2,FALSE),"")</f>
        <v/>
      </c>
      <c r="D290" s="25">
        <f>IFERROR(VLOOKUP($B290,'Estoque Central'!$A$6:$M$205,3,FALSE),"")</f>
        <v/>
      </c>
      <c r="E290" s="21" t="n"/>
      <c r="F290" s="22" t="n"/>
      <c r="G290" s="22" t="n"/>
      <c r="H290" s="25">
        <f>IFERROR(VLOOKUP($E290,'Configurações'!$A$11:$F$20,2,FALSE),"")</f>
        <v/>
      </c>
      <c r="I290" s="28">
        <f>IFERROR(VLOOKUP($E290,'Configurações'!$A$11:$F$20,3,FALSE),"")</f>
        <v/>
      </c>
      <c r="J290" s="24">
        <f>IFERROR(VLOOKUP($E290,'Configurações'!$A$11:$F$20,4,FALSE),"")</f>
        <v/>
      </c>
      <c r="K290" s="24">
        <f>IFERROR(VLOOKUP($E290,'Configurações'!$A$11:$F$20,5,FALSE),"")</f>
        <v/>
      </c>
      <c r="L290" s="24">
        <f>IFERROR(VLOOKUP($B290,'Estoque Central'!$A$6:$M$205,9,FALSE),"")</f>
        <v/>
      </c>
      <c r="M290" s="24">
        <f>IF(COUNTA($A290:$B290,$E290:$G290,$R290)=0,"",IFERROR(IF(OR($C290="",$H290=""),"",IF(OR($D290&lt;&gt;"Ativo",$H290&lt;&gt;"Sim"),0,MIN(IF($J290="",$L290,$J290),ROUNDDOWN($L290*$I290,0)))),""))</f>
        <v/>
      </c>
      <c r="N290" s="24">
        <f>IF(OR($M290="",NOT(ISNUMBER($F290))),"",$M290-$F290)</f>
        <v/>
      </c>
      <c r="O290" s="25">
        <f>IF(COUNTA($A290:$B290,$E290:$G290,$R290)=0,"",IF($S290&lt;&gt;"OK","REVISAR CADASTRO",IF($N290&gt;0,"AUMENTAR",IF($N290&lt;0,"REDUZIR","SEM AÇÃO"))))</f>
        <v/>
      </c>
      <c r="P290" s="25">
        <f>IF(COUNTA($A290:$B290,$E290:$G290,$R290)=0,"",IF($S290&lt;&gt;"OK","REVISAR",IF(OR($D290&lt;&gt;"Ativo",$H290&lt;&gt;"Sim"),IF($F290&gt;0,"ALTO","SEM EXPOSIÇÃO"),IF(OR($F290&gt;$M290,SUMIFS($F$6:$F$305,$B$6:$B$305,$B290,$S$6:$S$305,"OK")&gt;$L290),"ALTO",IF(AND($F290&gt;0,$L290&lt;=$K290),"MÉDIO","BAIXO")))))</f>
        <v/>
      </c>
      <c r="Q290" s="25">
        <f>IF(COUNTA($A290:$B290,$E290:$G290,$R290)=0,"",IF($S290&lt;&gt;"OK","REVISAR",IF($O290="SEM AÇÃO","BAIXA",IF(OR($P290="ALTO",ABS($N290)&gt;='Configurações'!$B$3),"URGENTE",IF(OR($P290="MÉDIO",'Configurações'!$B$5-$R290&gt;'Configurações'!$B$4),"ALTA","NORMAL")))))</f>
        <v/>
      </c>
      <c r="R290" s="23" t="n"/>
      <c r="S290" s="25">
        <f>IF(COUNTA($A290:$B290,$E290:$G290,$R290)=0,"",IF($A290="","ID AUSENTE",IF(COUNTIF($A$6:$A$305,$A290)&gt;1,"ID DUPLICADO",IF($B290="","SKU AUSENTE",IF(COUNTIF('Estoque Central'!$A$6:$A$205,$B290)=0,"SKU NÃO CADASTRADO",IF(IFERROR(VLOOKUP($B290,'Estoque Central'!$A$6:$M$205,13,FALSE),"")&lt;&gt;"OK","ESTOQUE CENTRAL COM PENDÊNCIA",IF($E290="","CANAL AUSENTE",IF(COUNTIF('Configurações'!$A$11:$A$20,$E290)=0,"CANAL NÃO CONFIGURADO",IF(IFERROR(VLOOKUP($E290,'Configurações'!$A$11:$F$20,6,FALSE),"")&lt;&gt;"OK","CANAL COM PENDÊNCIA",IF(COUNTIFS($B$6:$B$305,$B290,$E$6:$E$305,$E290)&gt;1,"SKU/CANAL DUPLICADO",IF(IFERROR(OR(NOT(ISNUMBER($F290)),$F290&lt;0,MOD($F290,1)&lt;&gt;0),TRUE),"SALDO PUBLICADO INVÁLIDO",IF(IFERROR(OR(NOT(ISNUMBER($G290)),$G290&lt;0,MOD($G290,1)&lt;&gt;0),TRUE),"PEDIDOS PENDENTES INVÁLIDOS",IF(IFERROR(OR(NOT(ISNUMBER($R290)),$R290&gt;'Configurações'!$B$5),TRUE),"DATA INVÁLIDA","OK")))))))))))))</f>
        <v/>
      </c>
    </row>
    <row r="291">
      <c r="A291" s="21" t="n"/>
      <c r="B291" s="21" t="n"/>
      <c r="C291" s="27">
        <f>IFERROR(VLOOKUP($B291,'Estoque Central'!$A$6:$M$205,2,FALSE),"")</f>
        <v/>
      </c>
      <c r="D291" s="25">
        <f>IFERROR(VLOOKUP($B291,'Estoque Central'!$A$6:$M$205,3,FALSE),"")</f>
        <v/>
      </c>
      <c r="E291" s="21" t="n"/>
      <c r="F291" s="22" t="n"/>
      <c r="G291" s="22" t="n"/>
      <c r="H291" s="25">
        <f>IFERROR(VLOOKUP($E291,'Configurações'!$A$11:$F$20,2,FALSE),"")</f>
        <v/>
      </c>
      <c r="I291" s="28">
        <f>IFERROR(VLOOKUP($E291,'Configurações'!$A$11:$F$20,3,FALSE),"")</f>
        <v/>
      </c>
      <c r="J291" s="24">
        <f>IFERROR(VLOOKUP($E291,'Configurações'!$A$11:$F$20,4,FALSE),"")</f>
        <v/>
      </c>
      <c r="K291" s="24">
        <f>IFERROR(VLOOKUP($E291,'Configurações'!$A$11:$F$20,5,FALSE),"")</f>
        <v/>
      </c>
      <c r="L291" s="24">
        <f>IFERROR(VLOOKUP($B291,'Estoque Central'!$A$6:$M$205,9,FALSE),"")</f>
        <v/>
      </c>
      <c r="M291" s="24">
        <f>IF(COUNTA($A291:$B291,$E291:$G291,$R291)=0,"",IFERROR(IF(OR($C291="",$H291=""),"",IF(OR($D291&lt;&gt;"Ativo",$H291&lt;&gt;"Sim"),0,MIN(IF($J291="",$L291,$J291),ROUNDDOWN($L291*$I291,0)))),""))</f>
        <v/>
      </c>
      <c r="N291" s="24">
        <f>IF(OR($M291="",NOT(ISNUMBER($F291))),"",$M291-$F291)</f>
        <v/>
      </c>
      <c r="O291" s="25">
        <f>IF(COUNTA($A291:$B291,$E291:$G291,$R291)=0,"",IF($S291&lt;&gt;"OK","REVISAR CADASTRO",IF($N291&gt;0,"AUMENTAR",IF($N291&lt;0,"REDUZIR","SEM AÇÃO"))))</f>
        <v/>
      </c>
      <c r="P291" s="25">
        <f>IF(COUNTA($A291:$B291,$E291:$G291,$R291)=0,"",IF($S291&lt;&gt;"OK","REVISAR",IF(OR($D291&lt;&gt;"Ativo",$H291&lt;&gt;"Sim"),IF($F291&gt;0,"ALTO","SEM EXPOSIÇÃO"),IF(OR($F291&gt;$M291,SUMIFS($F$6:$F$305,$B$6:$B$305,$B291,$S$6:$S$305,"OK")&gt;$L291),"ALTO",IF(AND($F291&gt;0,$L291&lt;=$K291),"MÉDIO","BAIXO")))))</f>
        <v/>
      </c>
      <c r="Q291" s="25">
        <f>IF(COUNTA($A291:$B291,$E291:$G291,$R291)=0,"",IF($S291&lt;&gt;"OK","REVISAR",IF($O291="SEM AÇÃO","BAIXA",IF(OR($P291="ALTO",ABS($N291)&gt;='Configurações'!$B$3),"URGENTE",IF(OR($P291="MÉDIO",'Configurações'!$B$5-$R291&gt;'Configurações'!$B$4),"ALTA","NORMAL")))))</f>
        <v/>
      </c>
      <c r="R291" s="23" t="n"/>
      <c r="S291" s="25">
        <f>IF(COUNTA($A291:$B291,$E291:$G291,$R291)=0,"",IF($A291="","ID AUSENTE",IF(COUNTIF($A$6:$A$305,$A291)&gt;1,"ID DUPLICADO",IF($B291="","SKU AUSENTE",IF(COUNTIF('Estoque Central'!$A$6:$A$205,$B291)=0,"SKU NÃO CADASTRADO",IF(IFERROR(VLOOKUP($B291,'Estoque Central'!$A$6:$M$205,13,FALSE),"")&lt;&gt;"OK","ESTOQUE CENTRAL COM PENDÊNCIA",IF($E291="","CANAL AUSENTE",IF(COUNTIF('Configurações'!$A$11:$A$20,$E291)=0,"CANAL NÃO CONFIGURADO",IF(IFERROR(VLOOKUP($E291,'Configurações'!$A$11:$F$20,6,FALSE),"")&lt;&gt;"OK","CANAL COM PENDÊNCIA",IF(COUNTIFS($B$6:$B$305,$B291,$E$6:$E$305,$E291)&gt;1,"SKU/CANAL DUPLICADO",IF(IFERROR(OR(NOT(ISNUMBER($F291)),$F291&lt;0,MOD($F291,1)&lt;&gt;0),TRUE),"SALDO PUBLICADO INVÁLIDO",IF(IFERROR(OR(NOT(ISNUMBER($G291)),$G291&lt;0,MOD($G291,1)&lt;&gt;0),TRUE),"PEDIDOS PENDENTES INVÁLIDOS",IF(IFERROR(OR(NOT(ISNUMBER($R291)),$R291&gt;'Configurações'!$B$5),TRUE),"DATA INVÁLIDA","OK")))))))))))))</f>
        <v/>
      </c>
    </row>
    <row r="292">
      <c r="A292" s="21" t="n"/>
      <c r="B292" s="21" t="n"/>
      <c r="C292" s="27">
        <f>IFERROR(VLOOKUP($B292,'Estoque Central'!$A$6:$M$205,2,FALSE),"")</f>
        <v/>
      </c>
      <c r="D292" s="25">
        <f>IFERROR(VLOOKUP($B292,'Estoque Central'!$A$6:$M$205,3,FALSE),"")</f>
        <v/>
      </c>
      <c r="E292" s="21" t="n"/>
      <c r="F292" s="22" t="n"/>
      <c r="G292" s="22" t="n"/>
      <c r="H292" s="25">
        <f>IFERROR(VLOOKUP($E292,'Configurações'!$A$11:$F$20,2,FALSE),"")</f>
        <v/>
      </c>
      <c r="I292" s="28">
        <f>IFERROR(VLOOKUP($E292,'Configurações'!$A$11:$F$20,3,FALSE),"")</f>
        <v/>
      </c>
      <c r="J292" s="24">
        <f>IFERROR(VLOOKUP($E292,'Configurações'!$A$11:$F$20,4,FALSE),"")</f>
        <v/>
      </c>
      <c r="K292" s="24">
        <f>IFERROR(VLOOKUP($E292,'Configurações'!$A$11:$F$20,5,FALSE),"")</f>
        <v/>
      </c>
      <c r="L292" s="24">
        <f>IFERROR(VLOOKUP($B292,'Estoque Central'!$A$6:$M$205,9,FALSE),"")</f>
        <v/>
      </c>
      <c r="M292" s="24">
        <f>IF(COUNTA($A292:$B292,$E292:$G292,$R292)=0,"",IFERROR(IF(OR($C292="",$H292=""),"",IF(OR($D292&lt;&gt;"Ativo",$H292&lt;&gt;"Sim"),0,MIN(IF($J292="",$L292,$J292),ROUNDDOWN($L292*$I292,0)))),""))</f>
        <v/>
      </c>
      <c r="N292" s="24">
        <f>IF(OR($M292="",NOT(ISNUMBER($F292))),"",$M292-$F292)</f>
        <v/>
      </c>
      <c r="O292" s="25">
        <f>IF(COUNTA($A292:$B292,$E292:$G292,$R292)=0,"",IF($S292&lt;&gt;"OK","REVISAR CADASTRO",IF($N292&gt;0,"AUMENTAR",IF($N292&lt;0,"REDUZIR","SEM AÇÃO"))))</f>
        <v/>
      </c>
      <c r="P292" s="25">
        <f>IF(COUNTA($A292:$B292,$E292:$G292,$R292)=0,"",IF($S292&lt;&gt;"OK","REVISAR",IF(OR($D292&lt;&gt;"Ativo",$H292&lt;&gt;"Sim"),IF($F292&gt;0,"ALTO","SEM EXPOSIÇÃO"),IF(OR($F292&gt;$M292,SUMIFS($F$6:$F$305,$B$6:$B$305,$B292,$S$6:$S$305,"OK")&gt;$L292),"ALTO",IF(AND($F292&gt;0,$L292&lt;=$K292),"MÉDIO","BAIXO")))))</f>
        <v/>
      </c>
      <c r="Q292" s="25">
        <f>IF(COUNTA($A292:$B292,$E292:$G292,$R292)=0,"",IF($S292&lt;&gt;"OK","REVISAR",IF($O292="SEM AÇÃO","BAIXA",IF(OR($P292="ALTO",ABS($N292)&gt;='Configurações'!$B$3),"URGENTE",IF(OR($P292="MÉDIO",'Configurações'!$B$5-$R292&gt;'Configurações'!$B$4),"ALTA","NORMAL")))))</f>
        <v/>
      </c>
      <c r="R292" s="23" t="n"/>
      <c r="S292" s="25">
        <f>IF(COUNTA($A292:$B292,$E292:$G292,$R292)=0,"",IF($A292="","ID AUSENTE",IF(COUNTIF($A$6:$A$305,$A292)&gt;1,"ID DUPLICADO",IF($B292="","SKU AUSENTE",IF(COUNTIF('Estoque Central'!$A$6:$A$205,$B292)=0,"SKU NÃO CADASTRADO",IF(IFERROR(VLOOKUP($B292,'Estoque Central'!$A$6:$M$205,13,FALSE),"")&lt;&gt;"OK","ESTOQUE CENTRAL COM PENDÊNCIA",IF($E292="","CANAL AUSENTE",IF(COUNTIF('Configurações'!$A$11:$A$20,$E292)=0,"CANAL NÃO CONFIGURADO",IF(IFERROR(VLOOKUP($E292,'Configurações'!$A$11:$F$20,6,FALSE),"")&lt;&gt;"OK","CANAL COM PENDÊNCIA",IF(COUNTIFS($B$6:$B$305,$B292,$E$6:$E$305,$E292)&gt;1,"SKU/CANAL DUPLICADO",IF(IFERROR(OR(NOT(ISNUMBER($F292)),$F292&lt;0,MOD($F292,1)&lt;&gt;0),TRUE),"SALDO PUBLICADO INVÁLIDO",IF(IFERROR(OR(NOT(ISNUMBER($G292)),$G292&lt;0,MOD($G292,1)&lt;&gt;0),TRUE),"PEDIDOS PENDENTES INVÁLIDOS",IF(IFERROR(OR(NOT(ISNUMBER($R292)),$R292&gt;'Configurações'!$B$5),TRUE),"DATA INVÁLIDA","OK")))))))))))))</f>
        <v/>
      </c>
    </row>
    <row r="293">
      <c r="A293" s="21" t="n"/>
      <c r="B293" s="21" t="n"/>
      <c r="C293" s="27">
        <f>IFERROR(VLOOKUP($B293,'Estoque Central'!$A$6:$M$205,2,FALSE),"")</f>
        <v/>
      </c>
      <c r="D293" s="25">
        <f>IFERROR(VLOOKUP($B293,'Estoque Central'!$A$6:$M$205,3,FALSE),"")</f>
        <v/>
      </c>
      <c r="E293" s="21" t="n"/>
      <c r="F293" s="22" t="n"/>
      <c r="G293" s="22" t="n"/>
      <c r="H293" s="25">
        <f>IFERROR(VLOOKUP($E293,'Configurações'!$A$11:$F$20,2,FALSE),"")</f>
        <v/>
      </c>
      <c r="I293" s="28">
        <f>IFERROR(VLOOKUP($E293,'Configurações'!$A$11:$F$20,3,FALSE),"")</f>
        <v/>
      </c>
      <c r="J293" s="24">
        <f>IFERROR(VLOOKUP($E293,'Configurações'!$A$11:$F$20,4,FALSE),"")</f>
        <v/>
      </c>
      <c r="K293" s="24">
        <f>IFERROR(VLOOKUP($E293,'Configurações'!$A$11:$F$20,5,FALSE),"")</f>
        <v/>
      </c>
      <c r="L293" s="24">
        <f>IFERROR(VLOOKUP($B293,'Estoque Central'!$A$6:$M$205,9,FALSE),"")</f>
        <v/>
      </c>
      <c r="M293" s="24">
        <f>IF(COUNTA($A293:$B293,$E293:$G293,$R293)=0,"",IFERROR(IF(OR($C293="",$H293=""),"",IF(OR($D293&lt;&gt;"Ativo",$H293&lt;&gt;"Sim"),0,MIN(IF($J293="",$L293,$J293),ROUNDDOWN($L293*$I293,0)))),""))</f>
        <v/>
      </c>
      <c r="N293" s="24">
        <f>IF(OR($M293="",NOT(ISNUMBER($F293))),"",$M293-$F293)</f>
        <v/>
      </c>
      <c r="O293" s="25">
        <f>IF(COUNTA($A293:$B293,$E293:$G293,$R293)=0,"",IF($S293&lt;&gt;"OK","REVISAR CADASTRO",IF($N293&gt;0,"AUMENTAR",IF($N293&lt;0,"REDUZIR","SEM AÇÃO"))))</f>
        <v/>
      </c>
      <c r="P293" s="25">
        <f>IF(COUNTA($A293:$B293,$E293:$G293,$R293)=0,"",IF($S293&lt;&gt;"OK","REVISAR",IF(OR($D293&lt;&gt;"Ativo",$H293&lt;&gt;"Sim"),IF($F293&gt;0,"ALTO","SEM EXPOSIÇÃO"),IF(OR($F293&gt;$M293,SUMIFS($F$6:$F$305,$B$6:$B$305,$B293,$S$6:$S$305,"OK")&gt;$L293),"ALTO",IF(AND($F293&gt;0,$L293&lt;=$K293),"MÉDIO","BAIXO")))))</f>
        <v/>
      </c>
      <c r="Q293" s="25">
        <f>IF(COUNTA($A293:$B293,$E293:$G293,$R293)=0,"",IF($S293&lt;&gt;"OK","REVISAR",IF($O293="SEM AÇÃO","BAIXA",IF(OR($P293="ALTO",ABS($N293)&gt;='Configurações'!$B$3),"URGENTE",IF(OR($P293="MÉDIO",'Configurações'!$B$5-$R293&gt;'Configurações'!$B$4),"ALTA","NORMAL")))))</f>
        <v/>
      </c>
      <c r="R293" s="23" t="n"/>
      <c r="S293" s="25">
        <f>IF(COUNTA($A293:$B293,$E293:$G293,$R293)=0,"",IF($A293="","ID AUSENTE",IF(COUNTIF($A$6:$A$305,$A293)&gt;1,"ID DUPLICADO",IF($B293="","SKU AUSENTE",IF(COUNTIF('Estoque Central'!$A$6:$A$205,$B293)=0,"SKU NÃO CADASTRADO",IF(IFERROR(VLOOKUP($B293,'Estoque Central'!$A$6:$M$205,13,FALSE),"")&lt;&gt;"OK","ESTOQUE CENTRAL COM PENDÊNCIA",IF($E293="","CANAL AUSENTE",IF(COUNTIF('Configurações'!$A$11:$A$20,$E293)=0,"CANAL NÃO CONFIGURADO",IF(IFERROR(VLOOKUP($E293,'Configurações'!$A$11:$F$20,6,FALSE),"")&lt;&gt;"OK","CANAL COM PENDÊNCIA",IF(COUNTIFS($B$6:$B$305,$B293,$E$6:$E$305,$E293)&gt;1,"SKU/CANAL DUPLICADO",IF(IFERROR(OR(NOT(ISNUMBER($F293)),$F293&lt;0,MOD($F293,1)&lt;&gt;0),TRUE),"SALDO PUBLICADO INVÁLIDO",IF(IFERROR(OR(NOT(ISNUMBER($G293)),$G293&lt;0,MOD($G293,1)&lt;&gt;0),TRUE),"PEDIDOS PENDENTES INVÁLIDOS",IF(IFERROR(OR(NOT(ISNUMBER($R293)),$R293&gt;'Configurações'!$B$5),TRUE),"DATA INVÁLIDA","OK")))))))))))))</f>
        <v/>
      </c>
    </row>
    <row r="294">
      <c r="A294" s="21" t="n"/>
      <c r="B294" s="21" t="n"/>
      <c r="C294" s="27">
        <f>IFERROR(VLOOKUP($B294,'Estoque Central'!$A$6:$M$205,2,FALSE),"")</f>
        <v/>
      </c>
      <c r="D294" s="25">
        <f>IFERROR(VLOOKUP($B294,'Estoque Central'!$A$6:$M$205,3,FALSE),"")</f>
        <v/>
      </c>
      <c r="E294" s="21" t="n"/>
      <c r="F294" s="22" t="n"/>
      <c r="G294" s="22" t="n"/>
      <c r="H294" s="25">
        <f>IFERROR(VLOOKUP($E294,'Configurações'!$A$11:$F$20,2,FALSE),"")</f>
        <v/>
      </c>
      <c r="I294" s="28">
        <f>IFERROR(VLOOKUP($E294,'Configurações'!$A$11:$F$20,3,FALSE),"")</f>
        <v/>
      </c>
      <c r="J294" s="24">
        <f>IFERROR(VLOOKUP($E294,'Configurações'!$A$11:$F$20,4,FALSE),"")</f>
        <v/>
      </c>
      <c r="K294" s="24">
        <f>IFERROR(VLOOKUP($E294,'Configurações'!$A$11:$F$20,5,FALSE),"")</f>
        <v/>
      </c>
      <c r="L294" s="24">
        <f>IFERROR(VLOOKUP($B294,'Estoque Central'!$A$6:$M$205,9,FALSE),"")</f>
        <v/>
      </c>
      <c r="M294" s="24">
        <f>IF(COUNTA($A294:$B294,$E294:$G294,$R294)=0,"",IFERROR(IF(OR($C294="",$H294=""),"",IF(OR($D294&lt;&gt;"Ativo",$H294&lt;&gt;"Sim"),0,MIN(IF($J294="",$L294,$J294),ROUNDDOWN($L294*$I294,0)))),""))</f>
        <v/>
      </c>
      <c r="N294" s="24">
        <f>IF(OR($M294="",NOT(ISNUMBER($F294))),"",$M294-$F294)</f>
        <v/>
      </c>
      <c r="O294" s="25">
        <f>IF(COUNTA($A294:$B294,$E294:$G294,$R294)=0,"",IF($S294&lt;&gt;"OK","REVISAR CADASTRO",IF($N294&gt;0,"AUMENTAR",IF($N294&lt;0,"REDUZIR","SEM AÇÃO"))))</f>
        <v/>
      </c>
      <c r="P294" s="25">
        <f>IF(COUNTA($A294:$B294,$E294:$G294,$R294)=0,"",IF($S294&lt;&gt;"OK","REVISAR",IF(OR($D294&lt;&gt;"Ativo",$H294&lt;&gt;"Sim"),IF($F294&gt;0,"ALTO","SEM EXPOSIÇÃO"),IF(OR($F294&gt;$M294,SUMIFS($F$6:$F$305,$B$6:$B$305,$B294,$S$6:$S$305,"OK")&gt;$L294),"ALTO",IF(AND($F294&gt;0,$L294&lt;=$K294),"MÉDIO","BAIXO")))))</f>
        <v/>
      </c>
      <c r="Q294" s="25">
        <f>IF(COUNTA($A294:$B294,$E294:$G294,$R294)=0,"",IF($S294&lt;&gt;"OK","REVISAR",IF($O294="SEM AÇÃO","BAIXA",IF(OR($P294="ALTO",ABS($N294)&gt;='Configurações'!$B$3),"URGENTE",IF(OR($P294="MÉDIO",'Configurações'!$B$5-$R294&gt;'Configurações'!$B$4),"ALTA","NORMAL")))))</f>
        <v/>
      </c>
      <c r="R294" s="23" t="n"/>
      <c r="S294" s="25">
        <f>IF(COUNTA($A294:$B294,$E294:$G294,$R294)=0,"",IF($A294="","ID AUSENTE",IF(COUNTIF($A$6:$A$305,$A294)&gt;1,"ID DUPLICADO",IF($B294="","SKU AUSENTE",IF(COUNTIF('Estoque Central'!$A$6:$A$205,$B294)=0,"SKU NÃO CADASTRADO",IF(IFERROR(VLOOKUP($B294,'Estoque Central'!$A$6:$M$205,13,FALSE),"")&lt;&gt;"OK","ESTOQUE CENTRAL COM PENDÊNCIA",IF($E294="","CANAL AUSENTE",IF(COUNTIF('Configurações'!$A$11:$A$20,$E294)=0,"CANAL NÃO CONFIGURADO",IF(IFERROR(VLOOKUP($E294,'Configurações'!$A$11:$F$20,6,FALSE),"")&lt;&gt;"OK","CANAL COM PENDÊNCIA",IF(COUNTIFS($B$6:$B$305,$B294,$E$6:$E$305,$E294)&gt;1,"SKU/CANAL DUPLICADO",IF(IFERROR(OR(NOT(ISNUMBER($F294)),$F294&lt;0,MOD($F294,1)&lt;&gt;0),TRUE),"SALDO PUBLICADO INVÁLIDO",IF(IFERROR(OR(NOT(ISNUMBER($G294)),$G294&lt;0,MOD($G294,1)&lt;&gt;0),TRUE),"PEDIDOS PENDENTES INVÁLIDOS",IF(IFERROR(OR(NOT(ISNUMBER($R294)),$R294&gt;'Configurações'!$B$5),TRUE),"DATA INVÁLIDA","OK")))))))))))))</f>
        <v/>
      </c>
    </row>
    <row r="295">
      <c r="A295" s="21" t="n"/>
      <c r="B295" s="21" t="n"/>
      <c r="C295" s="27">
        <f>IFERROR(VLOOKUP($B295,'Estoque Central'!$A$6:$M$205,2,FALSE),"")</f>
        <v/>
      </c>
      <c r="D295" s="25">
        <f>IFERROR(VLOOKUP($B295,'Estoque Central'!$A$6:$M$205,3,FALSE),"")</f>
        <v/>
      </c>
      <c r="E295" s="21" t="n"/>
      <c r="F295" s="22" t="n"/>
      <c r="G295" s="22" t="n"/>
      <c r="H295" s="25">
        <f>IFERROR(VLOOKUP($E295,'Configurações'!$A$11:$F$20,2,FALSE),"")</f>
        <v/>
      </c>
      <c r="I295" s="28">
        <f>IFERROR(VLOOKUP($E295,'Configurações'!$A$11:$F$20,3,FALSE),"")</f>
        <v/>
      </c>
      <c r="J295" s="24">
        <f>IFERROR(VLOOKUP($E295,'Configurações'!$A$11:$F$20,4,FALSE),"")</f>
        <v/>
      </c>
      <c r="K295" s="24">
        <f>IFERROR(VLOOKUP($E295,'Configurações'!$A$11:$F$20,5,FALSE),"")</f>
        <v/>
      </c>
      <c r="L295" s="24">
        <f>IFERROR(VLOOKUP($B295,'Estoque Central'!$A$6:$M$205,9,FALSE),"")</f>
        <v/>
      </c>
      <c r="M295" s="24">
        <f>IF(COUNTA($A295:$B295,$E295:$G295,$R295)=0,"",IFERROR(IF(OR($C295="",$H295=""),"",IF(OR($D295&lt;&gt;"Ativo",$H295&lt;&gt;"Sim"),0,MIN(IF($J295="",$L295,$J295),ROUNDDOWN($L295*$I295,0)))),""))</f>
        <v/>
      </c>
      <c r="N295" s="24">
        <f>IF(OR($M295="",NOT(ISNUMBER($F295))),"",$M295-$F295)</f>
        <v/>
      </c>
      <c r="O295" s="25">
        <f>IF(COUNTA($A295:$B295,$E295:$G295,$R295)=0,"",IF($S295&lt;&gt;"OK","REVISAR CADASTRO",IF($N295&gt;0,"AUMENTAR",IF($N295&lt;0,"REDUZIR","SEM AÇÃO"))))</f>
        <v/>
      </c>
      <c r="P295" s="25">
        <f>IF(COUNTA($A295:$B295,$E295:$G295,$R295)=0,"",IF($S295&lt;&gt;"OK","REVISAR",IF(OR($D295&lt;&gt;"Ativo",$H295&lt;&gt;"Sim"),IF($F295&gt;0,"ALTO","SEM EXPOSIÇÃO"),IF(OR($F295&gt;$M295,SUMIFS($F$6:$F$305,$B$6:$B$305,$B295,$S$6:$S$305,"OK")&gt;$L295),"ALTO",IF(AND($F295&gt;0,$L295&lt;=$K295),"MÉDIO","BAIXO")))))</f>
        <v/>
      </c>
      <c r="Q295" s="25">
        <f>IF(COUNTA($A295:$B295,$E295:$G295,$R295)=0,"",IF($S295&lt;&gt;"OK","REVISAR",IF($O295="SEM AÇÃO","BAIXA",IF(OR($P295="ALTO",ABS($N295)&gt;='Configurações'!$B$3),"URGENTE",IF(OR($P295="MÉDIO",'Configurações'!$B$5-$R295&gt;'Configurações'!$B$4),"ALTA","NORMAL")))))</f>
        <v/>
      </c>
      <c r="R295" s="23" t="n"/>
      <c r="S295" s="25">
        <f>IF(COUNTA($A295:$B295,$E295:$G295,$R295)=0,"",IF($A295="","ID AUSENTE",IF(COUNTIF($A$6:$A$305,$A295)&gt;1,"ID DUPLICADO",IF($B295="","SKU AUSENTE",IF(COUNTIF('Estoque Central'!$A$6:$A$205,$B295)=0,"SKU NÃO CADASTRADO",IF(IFERROR(VLOOKUP($B295,'Estoque Central'!$A$6:$M$205,13,FALSE),"")&lt;&gt;"OK","ESTOQUE CENTRAL COM PENDÊNCIA",IF($E295="","CANAL AUSENTE",IF(COUNTIF('Configurações'!$A$11:$A$20,$E295)=0,"CANAL NÃO CONFIGURADO",IF(IFERROR(VLOOKUP($E295,'Configurações'!$A$11:$F$20,6,FALSE),"")&lt;&gt;"OK","CANAL COM PENDÊNCIA",IF(COUNTIFS($B$6:$B$305,$B295,$E$6:$E$305,$E295)&gt;1,"SKU/CANAL DUPLICADO",IF(IFERROR(OR(NOT(ISNUMBER($F295)),$F295&lt;0,MOD($F295,1)&lt;&gt;0),TRUE),"SALDO PUBLICADO INVÁLIDO",IF(IFERROR(OR(NOT(ISNUMBER($G295)),$G295&lt;0,MOD($G295,1)&lt;&gt;0),TRUE),"PEDIDOS PENDENTES INVÁLIDOS",IF(IFERROR(OR(NOT(ISNUMBER($R295)),$R295&gt;'Configurações'!$B$5),TRUE),"DATA INVÁLIDA","OK")))))))))))))</f>
        <v/>
      </c>
    </row>
    <row r="296">
      <c r="A296" s="21" t="n"/>
      <c r="B296" s="21" t="n"/>
      <c r="C296" s="27">
        <f>IFERROR(VLOOKUP($B296,'Estoque Central'!$A$6:$M$205,2,FALSE),"")</f>
        <v/>
      </c>
      <c r="D296" s="25">
        <f>IFERROR(VLOOKUP($B296,'Estoque Central'!$A$6:$M$205,3,FALSE),"")</f>
        <v/>
      </c>
      <c r="E296" s="21" t="n"/>
      <c r="F296" s="22" t="n"/>
      <c r="G296" s="22" t="n"/>
      <c r="H296" s="25">
        <f>IFERROR(VLOOKUP($E296,'Configurações'!$A$11:$F$20,2,FALSE),"")</f>
        <v/>
      </c>
      <c r="I296" s="28">
        <f>IFERROR(VLOOKUP($E296,'Configurações'!$A$11:$F$20,3,FALSE),"")</f>
        <v/>
      </c>
      <c r="J296" s="24">
        <f>IFERROR(VLOOKUP($E296,'Configurações'!$A$11:$F$20,4,FALSE),"")</f>
        <v/>
      </c>
      <c r="K296" s="24">
        <f>IFERROR(VLOOKUP($E296,'Configurações'!$A$11:$F$20,5,FALSE),"")</f>
        <v/>
      </c>
      <c r="L296" s="24">
        <f>IFERROR(VLOOKUP($B296,'Estoque Central'!$A$6:$M$205,9,FALSE),"")</f>
        <v/>
      </c>
      <c r="M296" s="24">
        <f>IF(COUNTA($A296:$B296,$E296:$G296,$R296)=0,"",IFERROR(IF(OR($C296="",$H296=""),"",IF(OR($D296&lt;&gt;"Ativo",$H296&lt;&gt;"Sim"),0,MIN(IF($J296="",$L296,$J296),ROUNDDOWN($L296*$I296,0)))),""))</f>
        <v/>
      </c>
      <c r="N296" s="24">
        <f>IF(OR($M296="",NOT(ISNUMBER($F296))),"",$M296-$F296)</f>
        <v/>
      </c>
      <c r="O296" s="25">
        <f>IF(COUNTA($A296:$B296,$E296:$G296,$R296)=0,"",IF($S296&lt;&gt;"OK","REVISAR CADASTRO",IF($N296&gt;0,"AUMENTAR",IF($N296&lt;0,"REDUZIR","SEM AÇÃO"))))</f>
        <v/>
      </c>
      <c r="P296" s="25">
        <f>IF(COUNTA($A296:$B296,$E296:$G296,$R296)=0,"",IF($S296&lt;&gt;"OK","REVISAR",IF(OR($D296&lt;&gt;"Ativo",$H296&lt;&gt;"Sim"),IF($F296&gt;0,"ALTO","SEM EXPOSIÇÃO"),IF(OR($F296&gt;$M296,SUMIFS($F$6:$F$305,$B$6:$B$305,$B296,$S$6:$S$305,"OK")&gt;$L296),"ALTO",IF(AND($F296&gt;0,$L296&lt;=$K296),"MÉDIO","BAIXO")))))</f>
        <v/>
      </c>
      <c r="Q296" s="25">
        <f>IF(COUNTA($A296:$B296,$E296:$G296,$R296)=0,"",IF($S296&lt;&gt;"OK","REVISAR",IF($O296="SEM AÇÃO","BAIXA",IF(OR($P296="ALTO",ABS($N296)&gt;='Configurações'!$B$3),"URGENTE",IF(OR($P296="MÉDIO",'Configurações'!$B$5-$R296&gt;'Configurações'!$B$4),"ALTA","NORMAL")))))</f>
        <v/>
      </c>
      <c r="R296" s="23" t="n"/>
      <c r="S296" s="25">
        <f>IF(COUNTA($A296:$B296,$E296:$G296,$R296)=0,"",IF($A296="","ID AUSENTE",IF(COUNTIF($A$6:$A$305,$A296)&gt;1,"ID DUPLICADO",IF($B296="","SKU AUSENTE",IF(COUNTIF('Estoque Central'!$A$6:$A$205,$B296)=0,"SKU NÃO CADASTRADO",IF(IFERROR(VLOOKUP($B296,'Estoque Central'!$A$6:$M$205,13,FALSE),"")&lt;&gt;"OK","ESTOQUE CENTRAL COM PENDÊNCIA",IF($E296="","CANAL AUSENTE",IF(COUNTIF('Configurações'!$A$11:$A$20,$E296)=0,"CANAL NÃO CONFIGURADO",IF(IFERROR(VLOOKUP($E296,'Configurações'!$A$11:$F$20,6,FALSE),"")&lt;&gt;"OK","CANAL COM PENDÊNCIA",IF(COUNTIFS($B$6:$B$305,$B296,$E$6:$E$305,$E296)&gt;1,"SKU/CANAL DUPLICADO",IF(IFERROR(OR(NOT(ISNUMBER($F296)),$F296&lt;0,MOD($F296,1)&lt;&gt;0),TRUE),"SALDO PUBLICADO INVÁLIDO",IF(IFERROR(OR(NOT(ISNUMBER($G296)),$G296&lt;0,MOD($G296,1)&lt;&gt;0),TRUE),"PEDIDOS PENDENTES INVÁLIDOS",IF(IFERROR(OR(NOT(ISNUMBER($R296)),$R296&gt;'Configurações'!$B$5),TRUE),"DATA INVÁLIDA","OK")))))))))))))</f>
        <v/>
      </c>
    </row>
    <row r="297">
      <c r="A297" s="21" t="n"/>
      <c r="B297" s="21" t="n"/>
      <c r="C297" s="27">
        <f>IFERROR(VLOOKUP($B297,'Estoque Central'!$A$6:$M$205,2,FALSE),"")</f>
        <v/>
      </c>
      <c r="D297" s="25">
        <f>IFERROR(VLOOKUP($B297,'Estoque Central'!$A$6:$M$205,3,FALSE),"")</f>
        <v/>
      </c>
      <c r="E297" s="21" t="n"/>
      <c r="F297" s="22" t="n"/>
      <c r="G297" s="22" t="n"/>
      <c r="H297" s="25">
        <f>IFERROR(VLOOKUP($E297,'Configurações'!$A$11:$F$20,2,FALSE),"")</f>
        <v/>
      </c>
      <c r="I297" s="28">
        <f>IFERROR(VLOOKUP($E297,'Configurações'!$A$11:$F$20,3,FALSE),"")</f>
        <v/>
      </c>
      <c r="J297" s="24">
        <f>IFERROR(VLOOKUP($E297,'Configurações'!$A$11:$F$20,4,FALSE),"")</f>
        <v/>
      </c>
      <c r="K297" s="24">
        <f>IFERROR(VLOOKUP($E297,'Configurações'!$A$11:$F$20,5,FALSE),"")</f>
        <v/>
      </c>
      <c r="L297" s="24">
        <f>IFERROR(VLOOKUP($B297,'Estoque Central'!$A$6:$M$205,9,FALSE),"")</f>
        <v/>
      </c>
      <c r="M297" s="24">
        <f>IF(COUNTA($A297:$B297,$E297:$G297,$R297)=0,"",IFERROR(IF(OR($C297="",$H297=""),"",IF(OR($D297&lt;&gt;"Ativo",$H297&lt;&gt;"Sim"),0,MIN(IF($J297="",$L297,$J297),ROUNDDOWN($L297*$I297,0)))),""))</f>
        <v/>
      </c>
      <c r="N297" s="24">
        <f>IF(OR($M297="",NOT(ISNUMBER($F297))),"",$M297-$F297)</f>
        <v/>
      </c>
      <c r="O297" s="25">
        <f>IF(COUNTA($A297:$B297,$E297:$G297,$R297)=0,"",IF($S297&lt;&gt;"OK","REVISAR CADASTRO",IF($N297&gt;0,"AUMENTAR",IF($N297&lt;0,"REDUZIR","SEM AÇÃO"))))</f>
        <v/>
      </c>
      <c r="P297" s="25">
        <f>IF(COUNTA($A297:$B297,$E297:$G297,$R297)=0,"",IF($S297&lt;&gt;"OK","REVISAR",IF(OR($D297&lt;&gt;"Ativo",$H297&lt;&gt;"Sim"),IF($F297&gt;0,"ALTO","SEM EXPOSIÇÃO"),IF(OR($F297&gt;$M297,SUMIFS($F$6:$F$305,$B$6:$B$305,$B297,$S$6:$S$305,"OK")&gt;$L297),"ALTO",IF(AND($F297&gt;0,$L297&lt;=$K297),"MÉDIO","BAIXO")))))</f>
        <v/>
      </c>
      <c r="Q297" s="25">
        <f>IF(COUNTA($A297:$B297,$E297:$G297,$R297)=0,"",IF($S297&lt;&gt;"OK","REVISAR",IF($O297="SEM AÇÃO","BAIXA",IF(OR($P297="ALTO",ABS($N297)&gt;='Configurações'!$B$3),"URGENTE",IF(OR($P297="MÉDIO",'Configurações'!$B$5-$R297&gt;'Configurações'!$B$4),"ALTA","NORMAL")))))</f>
        <v/>
      </c>
      <c r="R297" s="23" t="n"/>
      <c r="S297" s="25">
        <f>IF(COUNTA($A297:$B297,$E297:$G297,$R297)=0,"",IF($A297="","ID AUSENTE",IF(COUNTIF($A$6:$A$305,$A297)&gt;1,"ID DUPLICADO",IF($B297="","SKU AUSENTE",IF(COUNTIF('Estoque Central'!$A$6:$A$205,$B297)=0,"SKU NÃO CADASTRADO",IF(IFERROR(VLOOKUP($B297,'Estoque Central'!$A$6:$M$205,13,FALSE),"")&lt;&gt;"OK","ESTOQUE CENTRAL COM PENDÊNCIA",IF($E297="","CANAL AUSENTE",IF(COUNTIF('Configurações'!$A$11:$A$20,$E297)=0,"CANAL NÃO CONFIGURADO",IF(IFERROR(VLOOKUP($E297,'Configurações'!$A$11:$F$20,6,FALSE),"")&lt;&gt;"OK","CANAL COM PENDÊNCIA",IF(COUNTIFS($B$6:$B$305,$B297,$E$6:$E$305,$E297)&gt;1,"SKU/CANAL DUPLICADO",IF(IFERROR(OR(NOT(ISNUMBER($F297)),$F297&lt;0,MOD($F297,1)&lt;&gt;0),TRUE),"SALDO PUBLICADO INVÁLIDO",IF(IFERROR(OR(NOT(ISNUMBER($G297)),$G297&lt;0,MOD($G297,1)&lt;&gt;0),TRUE),"PEDIDOS PENDENTES INVÁLIDOS",IF(IFERROR(OR(NOT(ISNUMBER($R297)),$R297&gt;'Configurações'!$B$5),TRUE),"DATA INVÁLIDA","OK")))))))))))))</f>
        <v/>
      </c>
    </row>
    <row r="298">
      <c r="A298" s="21" t="n"/>
      <c r="B298" s="21" t="n"/>
      <c r="C298" s="27">
        <f>IFERROR(VLOOKUP($B298,'Estoque Central'!$A$6:$M$205,2,FALSE),"")</f>
        <v/>
      </c>
      <c r="D298" s="25">
        <f>IFERROR(VLOOKUP($B298,'Estoque Central'!$A$6:$M$205,3,FALSE),"")</f>
        <v/>
      </c>
      <c r="E298" s="21" t="n"/>
      <c r="F298" s="22" t="n"/>
      <c r="G298" s="22" t="n"/>
      <c r="H298" s="25">
        <f>IFERROR(VLOOKUP($E298,'Configurações'!$A$11:$F$20,2,FALSE),"")</f>
        <v/>
      </c>
      <c r="I298" s="28">
        <f>IFERROR(VLOOKUP($E298,'Configurações'!$A$11:$F$20,3,FALSE),"")</f>
        <v/>
      </c>
      <c r="J298" s="24">
        <f>IFERROR(VLOOKUP($E298,'Configurações'!$A$11:$F$20,4,FALSE),"")</f>
        <v/>
      </c>
      <c r="K298" s="24">
        <f>IFERROR(VLOOKUP($E298,'Configurações'!$A$11:$F$20,5,FALSE),"")</f>
        <v/>
      </c>
      <c r="L298" s="24">
        <f>IFERROR(VLOOKUP($B298,'Estoque Central'!$A$6:$M$205,9,FALSE),"")</f>
        <v/>
      </c>
      <c r="M298" s="24">
        <f>IF(COUNTA($A298:$B298,$E298:$G298,$R298)=0,"",IFERROR(IF(OR($C298="",$H298=""),"",IF(OR($D298&lt;&gt;"Ativo",$H298&lt;&gt;"Sim"),0,MIN(IF($J298="",$L298,$J298),ROUNDDOWN($L298*$I298,0)))),""))</f>
        <v/>
      </c>
      <c r="N298" s="24">
        <f>IF(OR($M298="",NOT(ISNUMBER($F298))),"",$M298-$F298)</f>
        <v/>
      </c>
      <c r="O298" s="25">
        <f>IF(COUNTA($A298:$B298,$E298:$G298,$R298)=0,"",IF($S298&lt;&gt;"OK","REVISAR CADASTRO",IF($N298&gt;0,"AUMENTAR",IF($N298&lt;0,"REDUZIR","SEM AÇÃO"))))</f>
        <v/>
      </c>
      <c r="P298" s="25">
        <f>IF(COUNTA($A298:$B298,$E298:$G298,$R298)=0,"",IF($S298&lt;&gt;"OK","REVISAR",IF(OR($D298&lt;&gt;"Ativo",$H298&lt;&gt;"Sim"),IF($F298&gt;0,"ALTO","SEM EXPOSIÇÃO"),IF(OR($F298&gt;$M298,SUMIFS($F$6:$F$305,$B$6:$B$305,$B298,$S$6:$S$305,"OK")&gt;$L298),"ALTO",IF(AND($F298&gt;0,$L298&lt;=$K298),"MÉDIO","BAIXO")))))</f>
        <v/>
      </c>
      <c r="Q298" s="25">
        <f>IF(COUNTA($A298:$B298,$E298:$G298,$R298)=0,"",IF($S298&lt;&gt;"OK","REVISAR",IF($O298="SEM AÇÃO","BAIXA",IF(OR($P298="ALTO",ABS($N298)&gt;='Configurações'!$B$3),"URGENTE",IF(OR($P298="MÉDIO",'Configurações'!$B$5-$R298&gt;'Configurações'!$B$4),"ALTA","NORMAL")))))</f>
        <v/>
      </c>
      <c r="R298" s="23" t="n"/>
      <c r="S298" s="25">
        <f>IF(COUNTA($A298:$B298,$E298:$G298,$R298)=0,"",IF($A298="","ID AUSENTE",IF(COUNTIF($A$6:$A$305,$A298)&gt;1,"ID DUPLICADO",IF($B298="","SKU AUSENTE",IF(COUNTIF('Estoque Central'!$A$6:$A$205,$B298)=0,"SKU NÃO CADASTRADO",IF(IFERROR(VLOOKUP($B298,'Estoque Central'!$A$6:$M$205,13,FALSE),"")&lt;&gt;"OK","ESTOQUE CENTRAL COM PENDÊNCIA",IF($E298="","CANAL AUSENTE",IF(COUNTIF('Configurações'!$A$11:$A$20,$E298)=0,"CANAL NÃO CONFIGURADO",IF(IFERROR(VLOOKUP($E298,'Configurações'!$A$11:$F$20,6,FALSE),"")&lt;&gt;"OK","CANAL COM PENDÊNCIA",IF(COUNTIFS($B$6:$B$305,$B298,$E$6:$E$305,$E298)&gt;1,"SKU/CANAL DUPLICADO",IF(IFERROR(OR(NOT(ISNUMBER($F298)),$F298&lt;0,MOD($F298,1)&lt;&gt;0),TRUE),"SALDO PUBLICADO INVÁLIDO",IF(IFERROR(OR(NOT(ISNUMBER($G298)),$G298&lt;0,MOD($G298,1)&lt;&gt;0),TRUE),"PEDIDOS PENDENTES INVÁLIDOS",IF(IFERROR(OR(NOT(ISNUMBER($R298)),$R298&gt;'Configurações'!$B$5),TRUE),"DATA INVÁLIDA","OK")))))))))))))</f>
        <v/>
      </c>
    </row>
    <row r="299">
      <c r="A299" s="21" t="n"/>
      <c r="B299" s="21" t="n"/>
      <c r="C299" s="27">
        <f>IFERROR(VLOOKUP($B299,'Estoque Central'!$A$6:$M$205,2,FALSE),"")</f>
        <v/>
      </c>
      <c r="D299" s="25">
        <f>IFERROR(VLOOKUP($B299,'Estoque Central'!$A$6:$M$205,3,FALSE),"")</f>
        <v/>
      </c>
      <c r="E299" s="21" t="n"/>
      <c r="F299" s="22" t="n"/>
      <c r="G299" s="22" t="n"/>
      <c r="H299" s="25">
        <f>IFERROR(VLOOKUP($E299,'Configurações'!$A$11:$F$20,2,FALSE),"")</f>
        <v/>
      </c>
      <c r="I299" s="28">
        <f>IFERROR(VLOOKUP($E299,'Configurações'!$A$11:$F$20,3,FALSE),"")</f>
        <v/>
      </c>
      <c r="J299" s="24">
        <f>IFERROR(VLOOKUP($E299,'Configurações'!$A$11:$F$20,4,FALSE),"")</f>
        <v/>
      </c>
      <c r="K299" s="24">
        <f>IFERROR(VLOOKUP($E299,'Configurações'!$A$11:$F$20,5,FALSE),"")</f>
        <v/>
      </c>
      <c r="L299" s="24">
        <f>IFERROR(VLOOKUP($B299,'Estoque Central'!$A$6:$M$205,9,FALSE),"")</f>
        <v/>
      </c>
      <c r="M299" s="24">
        <f>IF(COUNTA($A299:$B299,$E299:$G299,$R299)=0,"",IFERROR(IF(OR($C299="",$H299=""),"",IF(OR($D299&lt;&gt;"Ativo",$H299&lt;&gt;"Sim"),0,MIN(IF($J299="",$L299,$J299),ROUNDDOWN($L299*$I299,0)))),""))</f>
        <v/>
      </c>
      <c r="N299" s="24">
        <f>IF(OR($M299="",NOT(ISNUMBER($F299))),"",$M299-$F299)</f>
        <v/>
      </c>
      <c r="O299" s="25">
        <f>IF(COUNTA($A299:$B299,$E299:$G299,$R299)=0,"",IF($S299&lt;&gt;"OK","REVISAR CADASTRO",IF($N299&gt;0,"AUMENTAR",IF($N299&lt;0,"REDUZIR","SEM AÇÃO"))))</f>
        <v/>
      </c>
      <c r="P299" s="25">
        <f>IF(COUNTA($A299:$B299,$E299:$G299,$R299)=0,"",IF($S299&lt;&gt;"OK","REVISAR",IF(OR($D299&lt;&gt;"Ativo",$H299&lt;&gt;"Sim"),IF($F299&gt;0,"ALTO","SEM EXPOSIÇÃO"),IF(OR($F299&gt;$M299,SUMIFS($F$6:$F$305,$B$6:$B$305,$B299,$S$6:$S$305,"OK")&gt;$L299),"ALTO",IF(AND($F299&gt;0,$L299&lt;=$K299),"MÉDIO","BAIXO")))))</f>
        <v/>
      </c>
      <c r="Q299" s="25">
        <f>IF(COUNTA($A299:$B299,$E299:$G299,$R299)=0,"",IF($S299&lt;&gt;"OK","REVISAR",IF($O299="SEM AÇÃO","BAIXA",IF(OR($P299="ALTO",ABS($N299)&gt;='Configurações'!$B$3),"URGENTE",IF(OR($P299="MÉDIO",'Configurações'!$B$5-$R299&gt;'Configurações'!$B$4),"ALTA","NORMAL")))))</f>
        <v/>
      </c>
      <c r="R299" s="23" t="n"/>
      <c r="S299" s="25">
        <f>IF(COUNTA($A299:$B299,$E299:$G299,$R299)=0,"",IF($A299="","ID AUSENTE",IF(COUNTIF($A$6:$A$305,$A299)&gt;1,"ID DUPLICADO",IF($B299="","SKU AUSENTE",IF(COUNTIF('Estoque Central'!$A$6:$A$205,$B299)=0,"SKU NÃO CADASTRADO",IF(IFERROR(VLOOKUP($B299,'Estoque Central'!$A$6:$M$205,13,FALSE),"")&lt;&gt;"OK","ESTOQUE CENTRAL COM PENDÊNCIA",IF($E299="","CANAL AUSENTE",IF(COUNTIF('Configurações'!$A$11:$A$20,$E299)=0,"CANAL NÃO CONFIGURADO",IF(IFERROR(VLOOKUP($E299,'Configurações'!$A$11:$F$20,6,FALSE),"")&lt;&gt;"OK","CANAL COM PENDÊNCIA",IF(COUNTIFS($B$6:$B$305,$B299,$E$6:$E$305,$E299)&gt;1,"SKU/CANAL DUPLICADO",IF(IFERROR(OR(NOT(ISNUMBER($F299)),$F299&lt;0,MOD($F299,1)&lt;&gt;0),TRUE),"SALDO PUBLICADO INVÁLIDO",IF(IFERROR(OR(NOT(ISNUMBER($G299)),$G299&lt;0,MOD($G299,1)&lt;&gt;0),TRUE),"PEDIDOS PENDENTES INVÁLIDOS",IF(IFERROR(OR(NOT(ISNUMBER($R299)),$R299&gt;'Configurações'!$B$5),TRUE),"DATA INVÁLIDA","OK")))))))))))))</f>
        <v/>
      </c>
    </row>
    <row r="300">
      <c r="A300" s="21" t="n"/>
      <c r="B300" s="21" t="n"/>
      <c r="C300" s="27">
        <f>IFERROR(VLOOKUP($B300,'Estoque Central'!$A$6:$M$205,2,FALSE),"")</f>
        <v/>
      </c>
      <c r="D300" s="25">
        <f>IFERROR(VLOOKUP($B300,'Estoque Central'!$A$6:$M$205,3,FALSE),"")</f>
        <v/>
      </c>
      <c r="E300" s="21" t="n"/>
      <c r="F300" s="22" t="n"/>
      <c r="G300" s="22" t="n"/>
      <c r="H300" s="25">
        <f>IFERROR(VLOOKUP($E300,'Configurações'!$A$11:$F$20,2,FALSE),"")</f>
        <v/>
      </c>
      <c r="I300" s="28">
        <f>IFERROR(VLOOKUP($E300,'Configurações'!$A$11:$F$20,3,FALSE),"")</f>
        <v/>
      </c>
      <c r="J300" s="24">
        <f>IFERROR(VLOOKUP($E300,'Configurações'!$A$11:$F$20,4,FALSE),"")</f>
        <v/>
      </c>
      <c r="K300" s="24">
        <f>IFERROR(VLOOKUP($E300,'Configurações'!$A$11:$F$20,5,FALSE),"")</f>
        <v/>
      </c>
      <c r="L300" s="24">
        <f>IFERROR(VLOOKUP($B300,'Estoque Central'!$A$6:$M$205,9,FALSE),"")</f>
        <v/>
      </c>
      <c r="M300" s="24">
        <f>IF(COUNTA($A300:$B300,$E300:$G300,$R300)=0,"",IFERROR(IF(OR($C300="",$H300=""),"",IF(OR($D300&lt;&gt;"Ativo",$H300&lt;&gt;"Sim"),0,MIN(IF($J300="",$L300,$J300),ROUNDDOWN($L300*$I300,0)))),""))</f>
        <v/>
      </c>
      <c r="N300" s="24">
        <f>IF(OR($M300="",NOT(ISNUMBER($F300))),"",$M300-$F300)</f>
        <v/>
      </c>
      <c r="O300" s="25">
        <f>IF(COUNTA($A300:$B300,$E300:$G300,$R300)=0,"",IF($S300&lt;&gt;"OK","REVISAR CADASTRO",IF($N300&gt;0,"AUMENTAR",IF($N300&lt;0,"REDUZIR","SEM AÇÃO"))))</f>
        <v/>
      </c>
      <c r="P300" s="25">
        <f>IF(COUNTA($A300:$B300,$E300:$G300,$R300)=0,"",IF($S300&lt;&gt;"OK","REVISAR",IF(OR($D300&lt;&gt;"Ativo",$H300&lt;&gt;"Sim"),IF($F300&gt;0,"ALTO","SEM EXPOSIÇÃO"),IF(OR($F300&gt;$M300,SUMIFS($F$6:$F$305,$B$6:$B$305,$B300,$S$6:$S$305,"OK")&gt;$L300),"ALTO",IF(AND($F300&gt;0,$L300&lt;=$K300),"MÉDIO","BAIXO")))))</f>
        <v/>
      </c>
      <c r="Q300" s="25">
        <f>IF(COUNTA($A300:$B300,$E300:$G300,$R300)=0,"",IF($S300&lt;&gt;"OK","REVISAR",IF($O300="SEM AÇÃO","BAIXA",IF(OR($P300="ALTO",ABS($N300)&gt;='Configurações'!$B$3),"URGENTE",IF(OR($P300="MÉDIO",'Configurações'!$B$5-$R300&gt;'Configurações'!$B$4),"ALTA","NORMAL")))))</f>
        <v/>
      </c>
      <c r="R300" s="23" t="n"/>
      <c r="S300" s="25">
        <f>IF(COUNTA($A300:$B300,$E300:$G300,$R300)=0,"",IF($A300="","ID AUSENTE",IF(COUNTIF($A$6:$A$305,$A300)&gt;1,"ID DUPLICADO",IF($B300="","SKU AUSENTE",IF(COUNTIF('Estoque Central'!$A$6:$A$205,$B300)=0,"SKU NÃO CADASTRADO",IF(IFERROR(VLOOKUP($B300,'Estoque Central'!$A$6:$M$205,13,FALSE),"")&lt;&gt;"OK","ESTOQUE CENTRAL COM PENDÊNCIA",IF($E300="","CANAL AUSENTE",IF(COUNTIF('Configurações'!$A$11:$A$20,$E300)=0,"CANAL NÃO CONFIGURADO",IF(IFERROR(VLOOKUP($E300,'Configurações'!$A$11:$F$20,6,FALSE),"")&lt;&gt;"OK","CANAL COM PENDÊNCIA",IF(COUNTIFS($B$6:$B$305,$B300,$E$6:$E$305,$E300)&gt;1,"SKU/CANAL DUPLICADO",IF(IFERROR(OR(NOT(ISNUMBER($F300)),$F300&lt;0,MOD($F300,1)&lt;&gt;0),TRUE),"SALDO PUBLICADO INVÁLIDO",IF(IFERROR(OR(NOT(ISNUMBER($G300)),$G300&lt;0,MOD($G300,1)&lt;&gt;0),TRUE),"PEDIDOS PENDENTES INVÁLIDOS",IF(IFERROR(OR(NOT(ISNUMBER($R300)),$R300&gt;'Configurações'!$B$5),TRUE),"DATA INVÁLIDA","OK")))))))))))))</f>
        <v/>
      </c>
    </row>
    <row r="301">
      <c r="A301" s="21" t="n"/>
      <c r="B301" s="21" t="n"/>
      <c r="C301" s="27">
        <f>IFERROR(VLOOKUP($B301,'Estoque Central'!$A$6:$M$205,2,FALSE),"")</f>
        <v/>
      </c>
      <c r="D301" s="25">
        <f>IFERROR(VLOOKUP($B301,'Estoque Central'!$A$6:$M$205,3,FALSE),"")</f>
        <v/>
      </c>
      <c r="E301" s="21" t="n"/>
      <c r="F301" s="22" t="n"/>
      <c r="G301" s="22" t="n"/>
      <c r="H301" s="25">
        <f>IFERROR(VLOOKUP($E301,'Configurações'!$A$11:$F$20,2,FALSE),"")</f>
        <v/>
      </c>
      <c r="I301" s="28">
        <f>IFERROR(VLOOKUP($E301,'Configurações'!$A$11:$F$20,3,FALSE),"")</f>
        <v/>
      </c>
      <c r="J301" s="24">
        <f>IFERROR(VLOOKUP($E301,'Configurações'!$A$11:$F$20,4,FALSE),"")</f>
        <v/>
      </c>
      <c r="K301" s="24">
        <f>IFERROR(VLOOKUP($E301,'Configurações'!$A$11:$F$20,5,FALSE),"")</f>
        <v/>
      </c>
      <c r="L301" s="24">
        <f>IFERROR(VLOOKUP($B301,'Estoque Central'!$A$6:$M$205,9,FALSE),"")</f>
        <v/>
      </c>
      <c r="M301" s="24">
        <f>IF(COUNTA($A301:$B301,$E301:$G301,$R301)=0,"",IFERROR(IF(OR($C301="",$H301=""),"",IF(OR($D301&lt;&gt;"Ativo",$H301&lt;&gt;"Sim"),0,MIN(IF($J301="",$L301,$J301),ROUNDDOWN($L301*$I301,0)))),""))</f>
        <v/>
      </c>
      <c r="N301" s="24">
        <f>IF(OR($M301="",NOT(ISNUMBER($F301))),"",$M301-$F301)</f>
        <v/>
      </c>
      <c r="O301" s="25">
        <f>IF(COUNTA($A301:$B301,$E301:$G301,$R301)=0,"",IF($S301&lt;&gt;"OK","REVISAR CADASTRO",IF($N301&gt;0,"AUMENTAR",IF($N301&lt;0,"REDUZIR","SEM AÇÃO"))))</f>
        <v/>
      </c>
      <c r="P301" s="25">
        <f>IF(COUNTA($A301:$B301,$E301:$G301,$R301)=0,"",IF($S301&lt;&gt;"OK","REVISAR",IF(OR($D301&lt;&gt;"Ativo",$H301&lt;&gt;"Sim"),IF($F301&gt;0,"ALTO","SEM EXPOSIÇÃO"),IF(OR($F301&gt;$M301,SUMIFS($F$6:$F$305,$B$6:$B$305,$B301,$S$6:$S$305,"OK")&gt;$L301),"ALTO",IF(AND($F301&gt;0,$L301&lt;=$K301),"MÉDIO","BAIXO")))))</f>
        <v/>
      </c>
      <c r="Q301" s="25">
        <f>IF(COUNTA($A301:$B301,$E301:$G301,$R301)=0,"",IF($S301&lt;&gt;"OK","REVISAR",IF($O301="SEM AÇÃO","BAIXA",IF(OR($P301="ALTO",ABS($N301)&gt;='Configurações'!$B$3),"URGENTE",IF(OR($P301="MÉDIO",'Configurações'!$B$5-$R301&gt;'Configurações'!$B$4),"ALTA","NORMAL")))))</f>
        <v/>
      </c>
      <c r="R301" s="23" t="n"/>
      <c r="S301" s="25">
        <f>IF(COUNTA($A301:$B301,$E301:$G301,$R301)=0,"",IF($A301="","ID AUSENTE",IF(COUNTIF($A$6:$A$305,$A301)&gt;1,"ID DUPLICADO",IF($B301="","SKU AUSENTE",IF(COUNTIF('Estoque Central'!$A$6:$A$205,$B301)=0,"SKU NÃO CADASTRADO",IF(IFERROR(VLOOKUP($B301,'Estoque Central'!$A$6:$M$205,13,FALSE),"")&lt;&gt;"OK","ESTOQUE CENTRAL COM PENDÊNCIA",IF($E301="","CANAL AUSENTE",IF(COUNTIF('Configurações'!$A$11:$A$20,$E301)=0,"CANAL NÃO CONFIGURADO",IF(IFERROR(VLOOKUP($E301,'Configurações'!$A$11:$F$20,6,FALSE),"")&lt;&gt;"OK","CANAL COM PENDÊNCIA",IF(COUNTIFS($B$6:$B$305,$B301,$E$6:$E$305,$E301)&gt;1,"SKU/CANAL DUPLICADO",IF(IFERROR(OR(NOT(ISNUMBER($F301)),$F301&lt;0,MOD($F301,1)&lt;&gt;0),TRUE),"SALDO PUBLICADO INVÁLIDO",IF(IFERROR(OR(NOT(ISNUMBER($G301)),$G301&lt;0,MOD($G301,1)&lt;&gt;0),TRUE),"PEDIDOS PENDENTES INVÁLIDOS",IF(IFERROR(OR(NOT(ISNUMBER($R301)),$R301&gt;'Configurações'!$B$5),TRUE),"DATA INVÁLIDA","OK")))))))))))))</f>
        <v/>
      </c>
    </row>
    <row r="302">
      <c r="A302" s="21" t="n"/>
      <c r="B302" s="21" t="n"/>
      <c r="C302" s="27">
        <f>IFERROR(VLOOKUP($B302,'Estoque Central'!$A$6:$M$205,2,FALSE),"")</f>
        <v/>
      </c>
      <c r="D302" s="25">
        <f>IFERROR(VLOOKUP($B302,'Estoque Central'!$A$6:$M$205,3,FALSE),"")</f>
        <v/>
      </c>
      <c r="E302" s="21" t="n"/>
      <c r="F302" s="22" t="n"/>
      <c r="G302" s="22" t="n"/>
      <c r="H302" s="25">
        <f>IFERROR(VLOOKUP($E302,'Configurações'!$A$11:$F$20,2,FALSE),"")</f>
        <v/>
      </c>
      <c r="I302" s="28">
        <f>IFERROR(VLOOKUP($E302,'Configurações'!$A$11:$F$20,3,FALSE),"")</f>
        <v/>
      </c>
      <c r="J302" s="24">
        <f>IFERROR(VLOOKUP($E302,'Configurações'!$A$11:$F$20,4,FALSE),"")</f>
        <v/>
      </c>
      <c r="K302" s="24">
        <f>IFERROR(VLOOKUP($E302,'Configurações'!$A$11:$F$20,5,FALSE),"")</f>
        <v/>
      </c>
      <c r="L302" s="24">
        <f>IFERROR(VLOOKUP($B302,'Estoque Central'!$A$6:$M$205,9,FALSE),"")</f>
        <v/>
      </c>
      <c r="M302" s="24">
        <f>IF(COUNTA($A302:$B302,$E302:$G302,$R302)=0,"",IFERROR(IF(OR($C302="",$H302=""),"",IF(OR($D302&lt;&gt;"Ativo",$H302&lt;&gt;"Sim"),0,MIN(IF($J302="",$L302,$J302),ROUNDDOWN($L302*$I302,0)))),""))</f>
        <v/>
      </c>
      <c r="N302" s="24">
        <f>IF(OR($M302="",NOT(ISNUMBER($F302))),"",$M302-$F302)</f>
        <v/>
      </c>
      <c r="O302" s="25">
        <f>IF(COUNTA($A302:$B302,$E302:$G302,$R302)=0,"",IF($S302&lt;&gt;"OK","REVISAR CADASTRO",IF($N302&gt;0,"AUMENTAR",IF($N302&lt;0,"REDUZIR","SEM AÇÃO"))))</f>
        <v/>
      </c>
      <c r="P302" s="25">
        <f>IF(COUNTA($A302:$B302,$E302:$G302,$R302)=0,"",IF($S302&lt;&gt;"OK","REVISAR",IF(OR($D302&lt;&gt;"Ativo",$H302&lt;&gt;"Sim"),IF($F302&gt;0,"ALTO","SEM EXPOSIÇÃO"),IF(OR($F302&gt;$M302,SUMIFS($F$6:$F$305,$B$6:$B$305,$B302,$S$6:$S$305,"OK")&gt;$L302),"ALTO",IF(AND($F302&gt;0,$L302&lt;=$K302),"MÉDIO","BAIXO")))))</f>
        <v/>
      </c>
      <c r="Q302" s="25">
        <f>IF(COUNTA($A302:$B302,$E302:$G302,$R302)=0,"",IF($S302&lt;&gt;"OK","REVISAR",IF($O302="SEM AÇÃO","BAIXA",IF(OR($P302="ALTO",ABS($N302)&gt;='Configurações'!$B$3),"URGENTE",IF(OR($P302="MÉDIO",'Configurações'!$B$5-$R302&gt;'Configurações'!$B$4),"ALTA","NORMAL")))))</f>
        <v/>
      </c>
      <c r="R302" s="23" t="n"/>
      <c r="S302" s="25">
        <f>IF(COUNTA($A302:$B302,$E302:$G302,$R302)=0,"",IF($A302="","ID AUSENTE",IF(COUNTIF($A$6:$A$305,$A302)&gt;1,"ID DUPLICADO",IF($B302="","SKU AUSENTE",IF(COUNTIF('Estoque Central'!$A$6:$A$205,$B302)=0,"SKU NÃO CADASTRADO",IF(IFERROR(VLOOKUP($B302,'Estoque Central'!$A$6:$M$205,13,FALSE),"")&lt;&gt;"OK","ESTOQUE CENTRAL COM PENDÊNCIA",IF($E302="","CANAL AUSENTE",IF(COUNTIF('Configurações'!$A$11:$A$20,$E302)=0,"CANAL NÃO CONFIGURADO",IF(IFERROR(VLOOKUP($E302,'Configurações'!$A$11:$F$20,6,FALSE),"")&lt;&gt;"OK","CANAL COM PENDÊNCIA",IF(COUNTIFS($B$6:$B$305,$B302,$E$6:$E$305,$E302)&gt;1,"SKU/CANAL DUPLICADO",IF(IFERROR(OR(NOT(ISNUMBER($F302)),$F302&lt;0,MOD($F302,1)&lt;&gt;0),TRUE),"SALDO PUBLICADO INVÁLIDO",IF(IFERROR(OR(NOT(ISNUMBER($G302)),$G302&lt;0,MOD($G302,1)&lt;&gt;0),TRUE),"PEDIDOS PENDENTES INVÁLIDOS",IF(IFERROR(OR(NOT(ISNUMBER($R302)),$R302&gt;'Configurações'!$B$5),TRUE),"DATA INVÁLIDA","OK")))))))))))))</f>
        <v/>
      </c>
    </row>
    <row r="303">
      <c r="A303" s="21" t="n"/>
      <c r="B303" s="21" t="n"/>
      <c r="C303" s="27">
        <f>IFERROR(VLOOKUP($B303,'Estoque Central'!$A$6:$M$205,2,FALSE),"")</f>
        <v/>
      </c>
      <c r="D303" s="25">
        <f>IFERROR(VLOOKUP($B303,'Estoque Central'!$A$6:$M$205,3,FALSE),"")</f>
        <v/>
      </c>
      <c r="E303" s="21" t="n"/>
      <c r="F303" s="22" t="n"/>
      <c r="G303" s="22" t="n"/>
      <c r="H303" s="25">
        <f>IFERROR(VLOOKUP($E303,'Configurações'!$A$11:$F$20,2,FALSE),"")</f>
        <v/>
      </c>
      <c r="I303" s="28">
        <f>IFERROR(VLOOKUP($E303,'Configurações'!$A$11:$F$20,3,FALSE),"")</f>
        <v/>
      </c>
      <c r="J303" s="24">
        <f>IFERROR(VLOOKUP($E303,'Configurações'!$A$11:$F$20,4,FALSE),"")</f>
        <v/>
      </c>
      <c r="K303" s="24">
        <f>IFERROR(VLOOKUP($E303,'Configurações'!$A$11:$F$20,5,FALSE),"")</f>
        <v/>
      </c>
      <c r="L303" s="24">
        <f>IFERROR(VLOOKUP($B303,'Estoque Central'!$A$6:$M$205,9,FALSE),"")</f>
        <v/>
      </c>
      <c r="M303" s="24">
        <f>IF(COUNTA($A303:$B303,$E303:$G303,$R303)=0,"",IFERROR(IF(OR($C303="",$H303=""),"",IF(OR($D303&lt;&gt;"Ativo",$H303&lt;&gt;"Sim"),0,MIN(IF($J303="",$L303,$J303),ROUNDDOWN($L303*$I303,0)))),""))</f>
        <v/>
      </c>
      <c r="N303" s="24">
        <f>IF(OR($M303="",NOT(ISNUMBER($F303))),"",$M303-$F303)</f>
        <v/>
      </c>
      <c r="O303" s="25">
        <f>IF(COUNTA($A303:$B303,$E303:$G303,$R303)=0,"",IF($S303&lt;&gt;"OK","REVISAR CADASTRO",IF($N303&gt;0,"AUMENTAR",IF($N303&lt;0,"REDUZIR","SEM AÇÃO"))))</f>
        <v/>
      </c>
      <c r="P303" s="25">
        <f>IF(COUNTA($A303:$B303,$E303:$G303,$R303)=0,"",IF($S303&lt;&gt;"OK","REVISAR",IF(OR($D303&lt;&gt;"Ativo",$H303&lt;&gt;"Sim"),IF($F303&gt;0,"ALTO","SEM EXPOSIÇÃO"),IF(OR($F303&gt;$M303,SUMIFS($F$6:$F$305,$B$6:$B$305,$B303,$S$6:$S$305,"OK")&gt;$L303),"ALTO",IF(AND($F303&gt;0,$L303&lt;=$K303),"MÉDIO","BAIXO")))))</f>
        <v/>
      </c>
      <c r="Q303" s="25">
        <f>IF(COUNTA($A303:$B303,$E303:$G303,$R303)=0,"",IF($S303&lt;&gt;"OK","REVISAR",IF($O303="SEM AÇÃO","BAIXA",IF(OR($P303="ALTO",ABS($N303)&gt;='Configurações'!$B$3),"URGENTE",IF(OR($P303="MÉDIO",'Configurações'!$B$5-$R303&gt;'Configurações'!$B$4),"ALTA","NORMAL")))))</f>
        <v/>
      </c>
      <c r="R303" s="23" t="n"/>
      <c r="S303" s="25">
        <f>IF(COUNTA($A303:$B303,$E303:$G303,$R303)=0,"",IF($A303="","ID AUSENTE",IF(COUNTIF($A$6:$A$305,$A303)&gt;1,"ID DUPLICADO",IF($B303="","SKU AUSENTE",IF(COUNTIF('Estoque Central'!$A$6:$A$205,$B303)=0,"SKU NÃO CADASTRADO",IF(IFERROR(VLOOKUP($B303,'Estoque Central'!$A$6:$M$205,13,FALSE),"")&lt;&gt;"OK","ESTOQUE CENTRAL COM PENDÊNCIA",IF($E303="","CANAL AUSENTE",IF(COUNTIF('Configurações'!$A$11:$A$20,$E303)=0,"CANAL NÃO CONFIGURADO",IF(IFERROR(VLOOKUP($E303,'Configurações'!$A$11:$F$20,6,FALSE),"")&lt;&gt;"OK","CANAL COM PENDÊNCIA",IF(COUNTIFS($B$6:$B$305,$B303,$E$6:$E$305,$E303)&gt;1,"SKU/CANAL DUPLICADO",IF(IFERROR(OR(NOT(ISNUMBER($F303)),$F303&lt;0,MOD($F303,1)&lt;&gt;0),TRUE),"SALDO PUBLICADO INVÁLIDO",IF(IFERROR(OR(NOT(ISNUMBER($G303)),$G303&lt;0,MOD($G303,1)&lt;&gt;0),TRUE),"PEDIDOS PENDENTES INVÁLIDOS",IF(IFERROR(OR(NOT(ISNUMBER($R303)),$R303&gt;'Configurações'!$B$5),TRUE),"DATA INVÁLIDA","OK")))))))))))))</f>
        <v/>
      </c>
    </row>
    <row r="304">
      <c r="A304" s="21" t="n"/>
      <c r="B304" s="21" t="n"/>
      <c r="C304" s="27">
        <f>IFERROR(VLOOKUP($B304,'Estoque Central'!$A$6:$M$205,2,FALSE),"")</f>
        <v/>
      </c>
      <c r="D304" s="25">
        <f>IFERROR(VLOOKUP($B304,'Estoque Central'!$A$6:$M$205,3,FALSE),"")</f>
        <v/>
      </c>
      <c r="E304" s="21" t="n"/>
      <c r="F304" s="22" t="n"/>
      <c r="G304" s="22" t="n"/>
      <c r="H304" s="25">
        <f>IFERROR(VLOOKUP($E304,'Configurações'!$A$11:$F$20,2,FALSE),"")</f>
        <v/>
      </c>
      <c r="I304" s="28">
        <f>IFERROR(VLOOKUP($E304,'Configurações'!$A$11:$F$20,3,FALSE),"")</f>
        <v/>
      </c>
      <c r="J304" s="24">
        <f>IFERROR(VLOOKUP($E304,'Configurações'!$A$11:$F$20,4,FALSE),"")</f>
        <v/>
      </c>
      <c r="K304" s="24">
        <f>IFERROR(VLOOKUP($E304,'Configurações'!$A$11:$F$20,5,FALSE),"")</f>
        <v/>
      </c>
      <c r="L304" s="24">
        <f>IFERROR(VLOOKUP($B304,'Estoque Central'!$A$6:$M$205,9,FALSE),"")</f>
        <v/>
      </c>
      <c r="M304" s="24">
        <f>IF(COUNTA($A304:$B304,$E304:$G304,$R304)=0,"",IFERROR(IF(OR($C304="",$H304=""),"",IF(OR($D304&lt;&gt;"Ativo",$H304&lt;&gt;"Sim"),0,MIN(IF($J304="",$L304,$J304),ROUNDDOWN($L304*$I304,0)))),""))</f>
        <v/>
      </c>
      <c r="N304" s="24">
        <f>IF(OR($M304="",NOT(ISNUMBER($F304))),"",$M304-$F304)</f>
        <v/>
      </c>
      <c r="O304" s="25">
        <f>IF(COUNTA($A304:$B304,$E304:$G304,$R304)=0,"",IF($S304&lt;&gt;"OK","REVISAR CADASTRO",IF($N304&gt;0,"AUMENTAR",IF($N304&lt;0,"REDUZIR","SEM AÇÃO"))))</f>
        <v/>
      </c>
      <c r="P304" s="25">
        <f>IF(COUNTA($A304:$B304,$E304:$G304,$R304)=0,"",IF($S304&lt;&gt;"OK","REVISAR",IF(OR($D304&lt;&gt;"Ativo",$H304&lt;&gt;"Sim"),IF($F304&gt;0,"ALTO","SEM EXPOSIÇÃO"),IF(OR($F304&gt;$M304,SUMIFS($F$6:$F$305,$B$6:$B$305,$B304,$S$6:$S$305,"OK")&gt;$L304),"ALTO",IF(AND($F304&gt;0,$L304&lt;=$K304),"MÉDIO","BAIXO")))))</f>
        <v/>
      </c>
      <c r="Q304" s="25">
        <f>IF(COUNTA($A304:$B304,$E304:$G304,$R304)=0,"",IF($S304&lt;&gt;"OK","REVISAR",IF($O304="SEM AÇÃO","BAIXA",IF(OR($P304="ALTO",ABS($N304)&gt;='Configurações'!$B$3),"URGENTE",IF(OR($P304="MÉDIO",'Configurações'!$B$5-$R304&gt;'Configurações'!$B$4),"ALTA","NORMAL")))))</f>
        <v/>
      </c>
      <c r="R304" s="23" t="n"/>
      <c r="S304" s="25">
        <f>IF(COUNTA($A304:$B304,$E304:$G304,$R304)=0,"",IF($A304="","ID AUSENTE",IF(COUNTIF($A$6:$A$305,$A304)&gt;1,"ID DUPLICADO",IF($B304="","SKU AUSENTE",IF(COUNTIF('Estoque Central'!$A$6:$A$205,$B304)=0,"SKU NÃO CADASTRADO",IF(IFERROR(VLOOKUP($B304,'Estoque Central'!$A$6:$M$205,13,FALSE),"")&lt;&gt;"OK","ESTOQUE CENTRAL COM PENDÊNCIA",IF($E304="","CANAL AUSENTE",IF(COUNTIF('Configurações'!$A$11:$A$20,$E304)=0,"CANAL NÃO CONFIGURADO",IF(IFERROR(VLOOKUP($E304,'Configurações'!$A$11:$F$20,6,FALSE),"")&lt;&gt;"OK","CANAL COM PENDÊNCIA",IF(COUNTIFS($B$6:$B$305,$B304,$E$6:$E$305,$E304)&gt;1,"SKU/CANAL DUPLICADO",IF(IFERROR(OR(NOT(ISNUMBER($F304)),$F304&lt;0,MOD($F304,1)&lt;&gt;0),TRUE),"SALDO PUBLICADO INVÁLIDO",IF(IFERROR(OR(NOT(ISNUMBER($G304)),$G304&lt;0,MOD($G304,1)&lt;&gt;0),TRUE),"PEDIDOS PENDENTES INVÁLIDOS",IF(IFERROR(OR(NOT(ISNUMBER($R304)),$R304&gt;'Configurações'!$B$5),TRUE),"DATA INVÁLIDA","OK")))))))))))))</f>
        <v/>
      </c>
    </row>
    <row r="305">
      <c r="A305" s="21" t="n"/>
      <c r="B305" s="21" t="n"/>
      <c r="C305" s="27">
        <f>IFERROR(VLOOKUP($B305,'Estoque Central'!$A$6:$M$205,2,FALSE),"")</f>
        <v/>
      </c>
      <c r="D305" s="25">
        <f>IFERROR(VLOOKUP($B305,'Estoque Central'!$A$6:$M$205,3,FALSE),"")</f>
        <v/>
      </c>
      <c r="E305" s="21" t="n"/>
      <c r="F305" s="22" t="n"/>
      <c r="G305" s="22" t="n"/>
      <c r="H305" s="25">
        <f>IFERROR(VLOOKUP($E305,'Configurações'!$A$11:$F$20,2,FALSE),"")</f>
        <v/>
      </c>
      <c r="I305" s="28">
        <f>IFERROR(VLOOKUP($E305,'Configurações'!$A$11:$F$20,3,FALSE),"")</f>
        <v/>
      </c>
      <c r="J305" s="24">
        <f>IFERROR(VLOOKUP($E305,'Configurações'!$A$11:$F$20,4,FALSE),"")</f>
        <v/>
      </c>
      <c r="K305" s="24">
        <f>IFERROR(VLOOKUP($E305,'Configurações'!$A$11:$F$20,5,FALSE),"")</f>
        <v/>
      </c>
      <c r="L305" s="24">
        <f>IFERROR(VLOOKUP($B305,'Estoque Central'!$A$6:$M$205,9,FALSE),"")</f>
        <v/>
      </c>
      <c r="M305" s="24">
        <f>IF(COUNTA($A305:$B305,$E305:$G305,$R305)=0,"",IFERROR(IF(OR($C305="",$H305=""),"",IF(OR($D305&lt;&gt;"Ativo",$H305&lt;&gt;"Sim"),0,MIN(IF($J305="",$L305,$J305),ROUNDDOWN($L305*$I305,0)))),""))</f>
        <v/>
      </c>
      <c r="N305" s="24">
        <f>IF(OR($M305="",NOT(ISNUMBER($F305))),"",$M305-$F305)</f>
        <v/>
      </c>
      <c r="O305" s="25">
        <f>IF(COUNTA($A305:$B305,$E305:$G305,$R305)=0,"",IF($S305&lt;&gt;"OK","REVISAR CADASTRO",IF($N305&gt;0,"AUMENTAR",IF($N305&lt;0,"REDUZIR","SEM AÇÃO"))))</f>
        <v/>
      </c>
      <c r="P305" s="25">
        <f>IF(COUNTA($A305:$B305,$E305:$G305,$R305)=0,"",IF($S305&lt;&gt;"OK","REVISAR",IF(OR($D305&lt;&gt;"Ativo",$H305&lt;&gt;"Sim"),IF($F305&gt;0,"ALTO","SEM EXPOSIÇÃO"),IF(OR($F305&gt;$M305,SUMIFS($F$6:$F$305,$B$6:$B$305,$B305,$S$6:$S$305,"OK")&gt;$L305),"ALTO",IF(AND($F305&gt;0,$L305&lt;=$K305),"MÉDIO","BAIXO")))))</f>
        <v/>
      </c>
      <c r="Q305" s="25">
        <f>IF(COUNTA($A305:$B305,$E305:$G305,$R305)=0,"",IF($S305&lt;&gt;"OK","REVISAR",IF($O305="SEM AÇÃO","BAIXA",IF(OR($P305="ALTO",ABS($N305)&gt;='Configurações'!$B$3),"URGENTE",IF(OR($P305="MÉDIO",'Configurações'!$B$5-$R305&gt;'Configurações'!$B$4),"ALTA","NORMAL")))))</f>
        <v/>
      </c>
      <c r="R305" s="23" t="n"/>
      <c r="S305" s="25">
        <f>IF(COUNTA($A305:$B305,$E305:$G305,$R305)=0,"",IF($A305="","ID AUSENTE",IF(COUNTIF($A$6:$A$305,$A305)&gt;1,"ID DUPLICADO",IF($B305="","SKU AUSENTE",IF(COUNTIF('Estoque Central'!$A$6:$A$205,$B305)=0,"SKU NÃO CADASTRADO",IF(IFERROR(VLOOKUP($B305,'Estoque Central'!$A$6:$M$205,13,FALSE),"")&lt;&gt;"OK","ESTOQUE CENTRAL COM PENDÊNCIA",IF($E305="","CANAL AUSENTE",IF(COUNTIF('Configurações'!$A$11:$A$20,$E305)=0,"CANAL NÃO CONFIGURADO",IF(IFERROR(VLOOKUP($E305,'Configurações'!$A$11:$F$20,6,FALSE),"")&lt;&gt;"OK","CANAL COM PENDÊNCIA",IF(COUNTIFS($B$6:$B$305,$B305,$E$6:$E$305,$E305)&gt;1,"SKU/CANAL DUPLICADO",IF(IFERROR(OR(NOT(ISNUMBER($F305)),$F305&lt;0,MOD($F305,1)&lt;&gt;0),TRUE),"SALDO PUBLICADO INVÁLIDO",IF(IFERROR(OR(NOT(ISNUMBER($G305)),$G305&lt;0,MOD($G305,1)&lt;&gt;0),TRUE),"PEDIDOS PENDENTES INVÁLIDOS",IF(IFERROR(OR(NOT(ISNUMBER($R305)),$R305&gt;'Configurações'!$B$5),TRUE),"DATA INVÁLIDA","OK")))))))))))))</f>
        <v/>
      </c>
    </row>
  </sheetData>
  <mergeCells count="1">
    <mergeCell ref="A1:S1"/>
  </mergeCells>
  <conditionalFormatting sqref="S6:S305">
    <cfRule type="expression" priority="1" dxfId="0">
      <formula>AND($S6&lt;&gt;"",$S6&lt;&gt;"OK")</formula>
    </cfRule>
  </conditionalFormatting>
  <conditionalFormatting sqref="N6:N305">
    <cfRule type="expression" priority="2" dxfId="0">
      <formula>AND(ISNUMBER($N6),$N6&lt;0)</formula>
    </cfRule>
    <cfRule type="expression" priority="3" dxfId="1">
      <formula>AND(ISNUMBER($N6),$N6&gt;0)</formula>
    </cfRule>
    <cfRule type="expression" priority="4" dxfId="4">
      <formula>AND($N6&lt;&gt;"",$N6=0)</formula>
    </cfRule>
  </conditionalFormatting>
  <conditionalFormatting sqref="O6:O305">
    <cfRule type="expression" priority="5" dxfId="0">
      <formula>$O6="REDUZIR"</formula>
    </cfRule>
    <cfRule type="expression" priority="6" dxfId="1">
      <formula>$O6="AUMENTAR"</formula>
    </cfRule>
    <cfRule type="expression" priority="7" dxfId="4">
      <formula>$O6="SEM AÇÃO"</formula>
    </cfRule>
    <cfRule type="expression" priority="8" dxfId="2">
      <formula>$O6="REVISAR CADASTRO"</formula>
    </cfRule>
  </conditionalFormatting>
  <conditionalFormatting sqref="P6:P305">
    <cfRule type="expression" priority="9" dxfId="0">
      <formula>$P6="ALTO"</formula>
    </cfRule>
    <cfRule type="expression" priority="10" dxfId="2">
      <formula>$P6="MÉDIO"</formula>
    </cfRule>
    <cfRule type="expression" priority="11" dxfId="4">
      <formula>$P6="BAIXO"</formula>
    </cfRule>
    <cfRule type="expression" priority="12" dxfId="5">
      <formula>$P6="SEM EXPOSIÇÃO"</formula>
    </cfRule>
    <cfRule type="expression" priority="13" dxfId="2">
      <formula>$P6="REVISAR"</formula>
    </cfRule>
  </conditionalFormatting>
  <conditionalFormatting sqref="Q6:Q305">
    <cfRule type="expression" priority="14" dxfId="6">
      <formula>$Q6="URGENTE"</formula>
    </cfRule>
    <cfRule type="expression" priority="15" dxfId="2">
      <formula>$Q6="ALTA"</formula>
    </cfRule>
    <cfRule type="expression" priority="16" dxfId="1">
      <formula>$Q6="NORMAL"</formula>
    </cfRule>
    <cfRule type="expression" priority="17" dxfId="4">
      <formula>$Q6="BAIXA"</formula>
    </cfRule>
    <cfRule type="expression" priority="18" dxfId="7">
      <formula>$Q6="REVISAR"</formula>
    </cfRule>
  </conditionalFormatting>
  <conditionalFormatting sqref="R6:R305">
    <cfRule type="expression" priority="19" dxfId="2">
      <formula>AND(ISNUMBER($R6),'Configurações'!$B$5-$R6&gt;'Configurações'!$B$4)</formula>
    </cfRule>
  </conditionalFormatting>
  <dataValidations count="5">
    <dataValidation sqref="A6:A305" showDropDown="0" showInputMessage="0" showErrorMessage="1" allowBlank="0" errorTitle="ID inválido" error="Informe um ID com até 30 caracteres." type="textLength" errorStyle="stop" operator="lessThanOrEqual">
      <formula1>30</formula1>
    </dataValidation>
    <dataValidation sqref="B6:B305" showDropDown="0" showInputMessage="0" showErrorMessage="1" allowBlank="0" errorTitle="SKU inválido" error="Selecione um SKU cadastrado no Estoque Central." type="list" errorStyle="stop">
      <formula1>=INDIRECT("'Estoque Central'!$A$6:$A$205")</formula1>
    </dataValidation>
    <dataValidation sqref="E6:E305" showDropDown="0" showInputMessage="0" showErrorMessage="1" allowBlank="0" errorTitle="Canal inválido" error="Selecione um canal configurado." type="list" errorStyle="stop">
      <formula1>=INDIRECT("'Configurações'!$A$11:$A$20")</formula1>
    </dataValidation>
    <dataValidation sqref="F6:G305" showDropDown="0" showInputMessage="0" showErrorMessage="1" allowBlank="0" errorTitle="Quantidade inválida" error="Informe um número inteiro entre 0 e 1.000.000." type="whole" errorStyle="stop" operator="between">
      <formula1>0</formula1>
      <formula2>1000000</formula2>
    </dataValidation>
    <dataValidation sqref="R6:R305" showDropDown="0" showInputMessage="0" showErrorMessage="1" allowBlank="0" errorTitle="Data inválida" error="Informe uma data entre 01/01/2020 e 31/12/2099." type="date" errorStyle="stop" operator="between">
      <formula1>DATE(2020,1,1)</formula1>
      <formula2>DATE(2099,12,31)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D6A57"/>
    <outlinePr summaryBelow="1" summaryRight="1"/>
    <pageSetUpPr fitToPage="1"/>
  </sheetPr>
  <dimension ref="A1:I20"/>
  <sheetViews>
    <sheetView showGridLines="0" zoomScale="90" zoomScaleNormal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5" customWidth="1" min="3" max="3"/>
    <col width="27" customWidth="1" min="4" max="4"/>
    <col width="17" customWidth="1" min="5" max="5"/>
    <col width="27" customWidth="1" min="6" max="6"/>
    <col hidden="1" width="13" customWidth="1" min="8" max="8"/>
    <col hidden="1" width="13" customWidth="1" min="9" max="9"/>
  </cols>
  <sheetData>
    <row r="1" ht="27" customHeight="1">
      <c r="A1" s="1" t="inlineStr">
        <is>
          <t>Configurações e Parâmetros</t>
        </is>
      </c>
      <c r="B1" s="39" t="n"/>
      <c r="C1" s="39" t="n"/>
      <c r="D1" s="39" t="n"/>
      <c r="E1" s="39" t="n"/>
      <c r="F1" s="40" t="n"/>
    </row>
    <row r="2">
      <c r="A2" s="29" t="inlineStr">
        <is>
          <t>Estoque de segurança padrão</t>
        </is>
      </c>
      <c r="B2" s="22" t="n">
        <v>2</v>
      </c>
    </row>
    <row r="3">
      <c r="A3" s="29" t="inlineStr">
        <is>
          <t>Diferença urgente em unidades</t>
        </is>
      </c>
      <c r="B3" s="22" t="n">
        <v>5</v>
      </c>
    </row>
    <row r="4">
      <c r="A4" s="29" t="inlineStr">
        <is>
          <t>Prazo de atualização em dias</t>
        </is>
      </c>
      <c r="B4" s="22" t="n">
        <v>2</v>
      </c>
    </row>
    <row r="5">
      <c r="A5" s="29" t="inlineStr">
        <is>
          <t>Data de referência</t>
        </is>
      </c>
      <c r="B5" s="23" t="n">
        <v>46271</v>
      </c>
    </row>
    <row r="6">
      <c r="A6" s="29" t="inlineStr">
        <is>
          <t>Total alocado em canais ativos</t>
        </is>
      </c>
      <c r="B6" s="30">
        <f>SUMIFS($C$11:$C$20,$B$11:$B$20,"Sim")</f>
        <v/>
      </c>
    </row>
    <row r="7">
      <c r="A7" s="29" t="inlineStr">
        <is>
          <t>Alerta de alocação</t>
        </is>
      </c>
      <c r="B7" s="31">
        <f>IF(COUNTA($A$11:$A$20)=0,"SEM CANAIS",IF($B$6&gt;1.000001,"ERRO: ACIMA DE 100%",IF($B$6&lt;0.999999,"ATENÇÃO: ABAIXO DE 100%","OK")))</f>
        <v/>
      </c>
    </row>
    <row r="8">
      <c r="A8" s="29" t="inlineStr">
        <is>
          <t>Alerta da data de referência</t>
        </is>
      </c>
      <c r="B8" s="31">
        <f>IF($B$5="","DATA AUSENTE",IF($B$5&lt;TODAY(),"ATENÇÃO: DATA ANTERIOR A HOJE",IF($B$5&gt;TODAY(),"ATENÇÃO: DATA FUTURA","OK")))</f>
        <v/>
      </c>
    </row>
    <row r="9">
      <c r="A9" s="7" t="inlineStr">
        <is>
          <t>Configuração dos canais</t>
        </is>
      </c>
    </row>
    <row r="10" ht="31" customHeight="1">
      <c r="A10" s="8" t="inlineStr">
        <is>
          <t>Canal</t>
        </is>
      </c>
      <c r="B10" s="8" t="inlineStr">
        <is>
          <t>Ativo</t>
        </is>
      </c>
      <c r="C10" s="8" t="inlineStr">
        <is>
          <t>Alocação</t>
        </is>
      </c>
      <c r="D10" s="8" t="inlineStr">
        <is>
          <t>Máximo publicado por SKU</t>
        </is>
      </c>
      <c r="E10" s="8" t="inlineStr">
        <is>
          <t>Limiar crítico</t>
        </is>
      </c>
      <c r="F10" s="8" t="inlineStr">
        <is>
          <t>Checagem</t>
        </is>
      </c>
      <c r="H10" t="inlineStr">
        <is>
          <t>Status do SKU</t>
        </is>
      </c>
      <c r="I10" t="inlineStr">
        <is>
          <t>Sim ou não</t>
        </is>
      </c>
    </row>
    <row r="11">
      <c r="A11" s="21" t="inlineStr">
        <is>
          <t>Loja própria</t>
        </is>
      </c>
      <c r="B11" s="32" t="inlineStr">
        <is>
          <t>Sim</t>
        </is>
      </c>
      <c r="C11" s="33" t="n">
        <v>0.35</v>
      </c>
      <c r="D11" s="34" t="n">
        <v>50</v>
      </c>
      <c r="E11" s="34" t="n">
        <v>3</v>
      </c>
      <c r="F11" s="25">
        <f>IF(COUNTA($A11:$E11)=0,"",IF($A11="","CANAL AUSENTE",IF(COUNTIF($A$11:$A$20,$A11)&gt;1,"CANAL DUPLICADO",IF(AND($B11&lt;&gt;"Sim",$B11&lt;&gt;"Não"),"ATIVO INVÁLIDO",IF(IFERROR(OR(NOT(ISNUMBER($C11)),$C11&lt;0,$C11&gt;1),TRUE),"ALOCAÇÃO INVÁLIDA",IF(AND($D11&lt;&gt;"",IFERROR(OR(NOT(ISNUMBER($D11)),$D11&lt;0,MOD($D11,1)&lt;&gt;0),TRUE)),"MÁXIMO INVÁLIDO",IF(IFERROR(OR(NOT(ISNUMBER($E11)),$E11&lt;0,MOD($E11,1)&lt;&gt;0),TRUE),"LIMIAR INVÁLIDO","OK")))))))</f>
        <v/>
      </c>
      <c r="H11" t="inlineStr">
        <is>
          <t>Ativo</t>
        </is>
      </c>
      <c r="I11" t="inlineStr">
        <is>
          <t>Sim</t>
        </is>
      </c>
    </row>
    <row r="12">
      <c r="A12" s="21" t="inlineStr">
        <is>
          <t>Mercado Alfa</t>
        </is>
      </c>
      <c r="B12" s="32" t="inlineStr">
        <is>
          <t>Sim</t>
        </is>
      </c>
      <c r="C12" s="33" t="n">
        <v>0.3</v>
      </c>
      <c r="D12" s="34" t="n">
        <v>40</v>
      </c>
      <c r="E12" s="34" t="n">
        <v>3</v>
      </c>
      <c r="F12" s="25">
        <f>IF(COUNTA($A12:$E12)=0,"",IF($A12="","CANAL AUSENTE",IF(COUNTIF($A$11:$A$20,$A12)&gt;1,"CANAL DUPLICADO",IF(AND($B12&lt;&gt;"Sim",$B12&lt;&gt;"Não"),"ATIVO INVÁLIDO",IF(IFERROR(OR(NOT(ISNUMBER($C12)),$C12&lt;0,$C12&gt;1),TRUE),"ALOCAÇÃO INVÁLIDA",IF(AND($D12&lt;&gt;"",IFERROR(OR(NOT(ISNUMBER($D12)),$D12&lt;0,MOD($D12,1)&lt;&gt;0),TRUE)),"MÁXIMO INVÁLIDO",IF(IFERROR(OR(NOT(ISNUMBER($E12)),$E12&lt;0,MOD($E12,1)&lt;&gt;0),TRUE),"LIMIAR INVÁLIDO","OK")))))))</f>
        <v/>
      </c>
      <c r="H12" t="inlineStr">
        <is>
          <t>Inativo</t>
        </is>
      </c>
      <c r="I12" t="inlineStr">
        <is>
          <t>Não</t>
        </is>
      </c>
    </row>
    <row r="13">
      <c r="A13" s="21" t="inlineStr">
        <is>
          <t>Shopping Nuvem</t>
        </is>
      </c>
      <c r="B13" s="32" t="inlineStr">
        <is>
          <t>Sim</t>
        </is>
      </c>
      <c r="C13" s="33" t="n">
        <v>0.2</v>
      </c>
      <c r="D13" s="34" t="n">
        <v>30</v>
      </c>
      <c r="E13" s="34" t="n">
        <v>2</v>
      </c>
      <c r="F13" s="25">
        <f>IF(COUNTA($A13:$E13)=0,"",IF($A13="","CANAL AUSENTE",IF(COUNTIF($A$11:$A$20,$A13)&gt;1,"CANAL DUPLICADO",IF(AND($B13&lt;&gt;"Sim",$B13&lt;&gt;"Não"),"ATIVO INVÁLIDO",IF(IFERROR(OR(NOT(ISNUMBER($C13)),$C13&lt;0,$C13&gt;1),TRUE),"ALOCAÇÃO INVÁLIDA",IF(AND($D13&lt;&gt;"",IFERROR(OR(NOT(ISNUMBER($D13)),$D13&lt;0,MOD($D13,1)&lt;&gt;0),TRUE)),"MÁXIMO INVÁLIDO",IF(IFERROR(OR(NOT(ISNUMBER($E13)),$E13&lt;0,MOD($E13,1)&lt;&gt;0),TRUE),"LIMIAR INVÁLIDO","OK")))))))</f>
        <v/>
      </c>
    </row>
    <row r="14">
      <c r="A14" s="21" t="inlineStr">
        <is>
          <t>Vitrine Sul</t>
        </is>
      </c>
      <c r="B14" s="32" t="inlineStr">
        <is>
          <t>Sim</t>
        </is>
      </c>
      <c r="C14" s="33" t="n">
        <v>0.15</v>
      </c>
      <c r="D14" s="34" t="n">
        <v>20</v>
      </c>
      <c r="E14" s="34" t="n">
        <v>2</v>
      </c>
      <c r="F14" s="25">
        <f>IF(COUNTA($A14:$E14)=0,"",IF($A14="","CANAL AUSENTE",IF(COUNTIF($A$11:$A$20,$A14)&gt;1,"CANAL DUPLICADO",IF(AND($B14&lt;&gt;"Sim",$B14&lt;&gt;"Não"),"ATIVO INVÁLIDO",IF(IFERROR(OR(NOT(ISNUMBER($C14)),$C14&lt;0,$C14&gt;1),TRUE),"ALOCAÇÃO INVÁLIDA",IF(AND($D14&lt;&gt;"",IFERROR(OR(NOT(ISNUMBER($D14)),$D14&lt;0,MOD($D14,1)&lt;&gt;0),TRUE)),"MÁXIMO INVÁLIDO",IF(IFERROR(OR(NOT(ISNUMBER($E14)),$E14&lt;0,MOD($E14,1)&lt;&gt;0),TRUE),"LIMIAR INVÁLIDO","OK")))))))</f>
        <v/>
      </c>
    </row>
    <row r="15">
      <c r="A15" s="21" t="inlineStr">
        <is>
          <t>Feira Pixel</t>
        </is>
      </c>
      <c r="B15" s="32" t="inlineStr">
        <is>
          <t>Não</t>
        </is>
      </c>
      <c r="C15" s="33" t="n">
        <v>0</v>
      </c>
      <c r="D15" s="34" t="n"/>
      <c r="E15" s="34" t="n">
        <v>0</v>
      </c>
      <c r="F15" s="25">
        <f>IF(COUNTA($A15:$E15)=0,"",IF($A15="","CANAL AUSENTE",IF(COUNTIF($A$11:$A$20,$A15)&gt;1,"CANAL DUPLICADO",IF(AND($B15&lt;&gt;"Sim",$B15&lt;&gt;"Não"),"ATIVO INVÁLIDO",IF(IFERROR(OR(NOT(ISNUMBER($C15)),$C15&lt;0,$C15&gt;1),TRUE),"ALOCAÇÃO INVÁLIDA",IF(AND($D15&lt;&gt;"",IFERROR(OR(NOT(ISNUMBER($D15)),$D15&lt;0,MOD($D15,1)&lt;&gt;0),TRUE)),"MÁXIMO INVÁLIDO",IF(IFERROR(OR(NOT(ISNUMBER($E15)),$E15&lt;0,MOD($E15,1)&lt;&gt;0),TRUE),"LIMIAR INVÁLIDO","OK")))))))</f>
        <v/>
      </c>
    </row>
    <row r="16">
      <c r="A16" s="21" t="inlineStr">
        <is>
          <t>Catálogo Horizonte</t>
        </is>
      </c>
      <c r="B16" s="32" t="inlineStr">
        <is>
          <t>Não</t>
        </is>
      </c>
      <c r="C16" s="33" t="n">
        <v>0</v>
      </c>
      <c r="D16" s="34" t="n"/>
      <c r="E16" s="34" t="n">
        <v>0</v>
      </c>
      <c r="F16" s="25">
        <f>IF(COUNTA($A16:$E16)=0,"",IF($A16="","CANAL AUSENTE",IF(COUNTIF($A$11:$A$20,$A16)&gt;1,"CANAL DUPLICADO",IF(AND($B16&lt;&gt;"Sim",$B16&lt;&gt;"Não"),"ATIVO INVÁLIDO",IF(IFERROR(OR(NOT(ISNUMBER($C16)),$C16&lt;0,$C16&gt;1),TRUE),"ALOCAÇÃO INVÁLIDA",IF(AND($D16&lt;&gt;"",IFERROR(OR(NOT(ISNUMBER($D16)),$D16&lt;0,MOD($D16,1)&lt;&gt;0),TRUE)),"MÁXIMO INVÁLIDO",IF(IFERROR(OR(NOT(ISNUMBER($E16)),$E16&lt;0,MOD($E16,1)&lt;&gt;0),TRUE),"LIMIAR INVÁLIDO","OK")))))))</f>
        <v/>
      </c>
    </row>
    <row r="17">
      <c r="A17" s="21" t="inlineStr">
        <is>
          <t>Quiosque Estelar</t>
        </is>
      </c>
      <c r="B17" s="32" t="inlineStr">
        <is>
          <t>Não</t>
        </is>
      </c>
      <c r="C17" s="33" t="n">
        <v>0</v>
      </c>
      <c r="D17" s="34" t="n"/>
      <c r="E17" s="34" t="n">
        <v>0</v>
      </c>
      <c r="F17" s="25">
        <f>IF(COUNTA($A17:$E17)=0,"",IF($A17="","CANAL AUSENTE",IF(COUNTIF($A$11:$A$20,$A17)&gt;1,"CANAL DUPLICADO",IF(AND($B17&lt;&gt;"Sim",$B17&lt;&gt;"Não"),"ATIVO INVÁLIDO",IF(IFERROR(OR(NOT(ISNUMBER($C17)),$C17&lt;0,$C17&gt;1),TRUE),"ALOCAÇÃO INVÁLIDA",IF(AND($D17&lt;&gt;"",IFERROR(OR(NOT(ISNUMBER($D17)),$D17&lt;0,MOD($D17,1)&lt;&gt;0),TRUE)),"MÁXIMO INVÁLIDO",IF(IFERROR(OR(NOT(ISNUMBER($E17)),$E17&lt;0,MOD($E17,1)&lt;&gt;0),TRUE),"LIMIAR INVÁLIDO","OK")))))))</f>
        <v/>
      </c>
    </row>
    <row r="18">
      <c r="A18" s="21" t="inlineStr">
        <is>
          <t>Clube Orvalho</t>
        </is>
      </c>
      <c r="B18" s="32" t="inlineStr">
        <is>
          <t>Não</t>
        </is>
      </c>
      <c r="C18" s="33" t="n">
        <v>0</v>
      </c>
      <c r="D18" s="34" t="n"/>
      <c r="E18" s="34" t="n">
        <v>0</v>
      </c>
      <c r="F18" s="25">
        <f>IF(COUNTA($A18:$E18)=0,"",IF($A18="","CANAL AUSENTE",IF(COUNTIF($A$11:$A$20,$A18)&gt;1,"CANAL DUPLICADO",IF(AND($B18&lt;&gt;"Sim",$B18&lt;&gt;"Não"),"ATIVO INVÁLIDO",IF(IFERROR(OR(NOT(ISNUMBER($C18)),$C18&lt;0,$C18&gt;1),TRUE),"ALOCAÇÃO INVÁLIDA",IF(AND($D18&lt;&gt;"",IFERROR(OR(NOT(ISNUMBER($D18)),$D18&lt;0,MOD($D18,1)&lt;&gt;0),TRUE)),"MÁXIMO INVÁLIDO",IF(IFERROR(OR(NOT(ISNUMBER($E18)),$E18&lt;0,MOD($E18,1)&lt;&gt;0),TRUE),"LIMIAR INVÁLIDO","OK")))))))</f>
        <v/>
      </c>
    </row>
    <row r="19">
      <c r="A19" s="21" t="n"/>
      <c r="B19" s="32" t="n"/>
      <c r="C19" s="33" t="n"/>
      <c r="D19" s="34" t="n"/>
      <c r="E19" s="34" t="n"/>
      <c r="F19" s="25">
        <f>IF(COUNTA($A19:$E19)=0,"",IF($A19="","CANAL AUSENTE",IF(COUNTIF($A$11:$A$20,$A19)&gt;1,"CANAL DUPLICADO",IF(AND($B19&lt;&gt;"Sim",$B19&lt;&gt;"Não"),"ATIVO INVÁLIDO",IF(IFERROR(OR(NOT(ISNUMBER($C19)),$C19&lt;0,$C19&gt;1),TRUE),"ALOCAÇÃO INVÁLIDA",IF(AND($D19&lt;&gt;"",IFERROR(OR(NOT(ISNUMBER($D19)),$D19&lt;0,MOD($D19,1)&lt;&gt;0),TRUE)),"MÁXIMO INVÁLIDO",IF(IFERROR(OR(NOT(ISNUMBER($E19)),$E19&lt;0,MOD($E19,1)&lt;&gt;0),TRUE),"LIMIAR INVÁLIDO","OK")))))))</f>
        <v/>
      </c>
    </row>
    <row r="20">
      <c r="A20" s="21" t="n"/>
      <c r="B20" s="32" t="n"/>
      <c r="C20" s="33" t="n"/>
      <c r="D20" s="34" t="n"/>
      <c r="E20" s="34" t="n"/>
      <c r="F20" s="25">
        <f>IF(COUNTA($A20:$E20)=0,"",IF($A20="","CANAL AUSENTE",IF(COUNTIF($A$11:$A$20,$A20)&gt;1,"CANAL DUPLICADO",IF(AND($B20&lt;&gt;"Sim",$B20&lt;&gt;"Não"),"ATIVO INVÁLIDO",IF(IFERROR(OR(NOT(ISNUMBER($C20)),$C20&lt;0,$C20&gt;1),TRUE),"ALOCAÇÃO INVÁLIDA",IF(AND($D20&lt;&gt;"",IFERROR(OR(NOT(ISNUMBER($D20)),$D20&lt;0,MOD($D20,1)&lt;&gt;0),TRUE)),"MÁXIMO INVÁLIDO",IF(IFERROR(OR(NOT(ISNUMBER($E20)),$E20&lt;0,MOD($E20,1)&lt;&gt;0),TRUE),"LIMIAR INVÁLIDO","OK")))))))</f>
        <v/>
      </c>
    </row>
  </sheetData>
  <mergeCells count="1">
    <mergeCell ref="A1:F1"/>
  </mergeCells>
  <conditionalFormatting sqref="B7">
    <cfRule type="expression" priority="1" dxfId="4">
      <formula>B7="OK"</formula>
    </cfRule>
    <cfRule type="expression" priority="2" dxfId="2">
      <formula>LEFT(B7,7)="ATENÇÃO"</formula>
    </cfRule>
    <cfRule type="expression" priority="3" dxfId="0">
      <formula>LEFT(B7,4)="ERRO"</formula>
    </cfRule>
  </conditionalFormatting>
  <conditionalFormatting sqref="B8">
    <cfRule type="expression" priority="4" dxfId="2">
      <formula>B8&lt;&gt;"OK"</formula>
    </cfRule>
  </conditionalFormatting>
  <conditionalFormatting sqref="F11:F20">
    <cfRule type="expression" priority="5" dxfId="0">
      <formula>AND($F11&lt;&gt;"",$F11&lt;&gt;"OK")</formula>
    </cfRule>
  </conditionalFormatting>
  <conditionalFormatting sqref="A11:A20">
    <cfRule type="expression" priority="6" dxfId="0">
      <formula>COUNTIF($A$11:$A$20,A11)&gt;1</formula>
    </cfRule>
  </conditionalFormatting>
  <conditionalFormatting sqref="C11:C20">
    <cfRule type="colorScale" priority="7">
      <colorScale>
        <cfvo type="num" val="0"/>
        <cfvo type="num" val="0.5"/>
        <cfvo type="num" val="1"/>
        <color rgb="00F4CCCC"/>
        <color rgb="00FFF1C9"/>
        <color rgb="00C6E0B4"/>
      </colorScale>
    </cfRule>
  </conditionalFormatting>
  <dataValidations count="7">
    <dataValidation sqref="B2:B3" showDropDown="0" showInputMessage="0" showErrorMessage="1" allowBlank="0" errorTitle="Parâmetro inválido" error="Informe um número inteiro não negativo." type="whole" errorStyle="stop" operator="between">
      <formula1>0</formula1>
      <formula2>1000000</formula2>
    </dataValidation>
    <dataValidation sqref="B4" showDropDown="0" showInputMessage="0" showErrorMessage="1" allowBlank="0" errorTitle="Prazo inválido" error="Informe um número inteiro entre 0 e 365." type="whole" errorStyle="stop" operator="between">
      <formula1>0</formula1>
      <formula2>365</formula2>
    </dataValidation>
    <dataValidation sqref="B5" showDropDown="0" showInputMessage="0" showErrorMessage="1" allowBlank="0" errorTitle="Data inválida" error="Informe uma data entre 01/01/2020 e 31/12/2099." type="date" errorStyle="stop" operator="between">
      <formula1>DATE(2020,1,1)</formula1>
      <formula2>DATE(2099,12,31)</formula2>
    </dataValidation>
    <dataValidation sqref="A11:A20" showDropDown="0" showInputMessage="0" showErrorMessage="1" allowBlank="0" errorTitle="Canal inválido" error="Informe um nome de canal com até 40 caracteres." type="textLength" errorStyle="stop" operator="lessThanOrEqual">
      <formula1>40</formula1>
    </dataValidation>
    <dataValidation sqref="B11:B20" showDropDown="0" showInputMessage="0" showErrorMessage="1" allowBlank="0" errorTitle="Opção inválida" error="Selecione Sim ou Não." type="list" errorStyle="stop">
      <formula1>=$I$11:$I$12</formula1>
    </dataValidation>
    <dataValidation sqref="C11:C20" showDropDown="0" showInputMessage="0" showErrorMessage="1" allowBlank="0" errorTitle="Alocação inválida" error="Informe um percentual entre 0% e 100%." type="decimal" errorStyle="stop" operator="between">
      <formula1>0</formula1>
      <formula2>1</formula2>
    </dataValidation>
    <dataValidation sqref="D11:E20" showDropDown="0" showInputMessage="0" showErrorMessage="1" allowBlank="0" errorTitle="Limite inválido" error="Informe um número inteiro entre 0 e 1.000.000." type="whole" errorStyle="stop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D8D0C1"/>
    <outlinePr summaryBelow="1" summaryRight="1"/>
    <pageSetUpPr fitToPage="1"/>
  </sheetPr>
  <dimension ref="A1:H26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8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7" customHeight="1">
      <c r="A1" s="1" t="inlineStr">
        <is>
          <t>Como usar o Controle de Estoque Multicanal</t>
        </is>
      </c>
      <c r="B1" s="39" t="n"/>
      <c r="C1" s="39" t="n"/>
      <c r="D1" s="39" t="n"/>
      <c r="E1" s="39" t="n"/>
      <c r="F1" s="39" t="n"/>
      <c r="G1" s="39" t="n"/>
      <c r="H1" s="40" t="n"/>
    </row>
    <row r="2"/>
    <row r="3">
      <c r="A3" s="7" t="inlineStr">
        <is>
          <t>Fluxo de uso</t>
        </is>
      </c>
    </row>
    <row r="4" ht="22" customHeight="1">
      <c r="A4" s="35" t="inlineStr">
        <is>
          <t>1. Atualize a data de referência e os parâmetros na aba Configurações.</t>
        </is>
      </c>
    </row>
    <row r="5" ht="22" customHeight="1">
      <c r="A5" s="36" t="inlineStr">
        <is>
          <t>2. Cadastre cada SKU uma única vez na aba Estoque Central.</t>
        </is>
      </c>
    </row>
    <row r="6" ht="22" customHeight="1">
      <c r="A6" s="35" t="inlineStr">
        <is>
          <t>3. Informe saldo físico, reservas internas e data de atualização.</t>
        </is>
      </c>
    </row>
    <row r="7" ht="22" customHeight="1">
      <c r="A7" s="36" t="inlineStr">
        <is>
          <t>4. Na aba Conciliação, crie uma linha para cada combinação de SKU e canal.</t>
        </is>
      </c>
    </row>
    <row r="8" ht="22" customHeight="1">
      <c r="A8" s="35" t="inlineStr">
        <is>
          <t>5. Informe saldo publicado, pedidos pendentes e última conferência.</t>
        </is>
      </c>
    </row>
    <row r="9" ht="22" customHeight="1">
      <c r="A9" s="36" t="inlineStr">
        <is>
          <t>6. Filtre a coluna Ação de sincronização por AUMENTAR ou REDUZIR.</t>
        </is>
      </c>
    </row>
    <row r="10" ht="22" customHeight="1">
      <c r="A10" s="35" t="inlineStr">
        <is>
          <t>7. Execute primeiro as linhas com prioridade URGENTE.</t>
        </is>
      </c>
    </row>
    <row r="11" ht="22" customHeight="1">
      <c r="A11" s="36" t="inlineStr">
        <is>
          <t>8. Após ajustar o canal, atualize o saldo publicado e a data da conferência.</t>
        </is>
      </c>
    </row>
    <row r="12" ht="22" customHeight="1">
      <c r="A12" s="35" t="inlineStr">
        <is>
          <t>9. Não apague as fórmulas das colunas cinza.</t>
        </is>
      </c>
    </row>
    <row r="13"/>
    <row r="14"/>
    <row r="15">
      <c r="A15" s="7" t="inlineStr">
        <is>
          <t>Definições</t>
        </is>
      </c>
    </row>
    <row r="16" ht="31" customHeight="1">
      <c r="A16" s="37" t="inlineStr">
        <is>
          <t>Saldo físico</t>
        </is>
      </c>
      <c r="B16" s="36" t="inlineStr">
        <is>
          <t>quantidade efetivamente existente no estoque central.</t>
        </is>
      </c>
    </row>
    <row r="17" ht="31" customHeight="1">
      <c r="A17" s="37" t="inlineStr">
        <is>
          <t>Reservas</t>
        </is>
      </c>
      <c r="B17" s="36" t="inlineStr">
        <is>
          <t>bloqueios internos que não estejam incluídos nos pedidos pendentes informados por canal.</t>
        </is>
      </c>
    </row>
    <row r="18" ht="31" customHeight="1">
      <c r="A18" s="37" t="inlineStr">
        <is>
          <t>Pedidos pendentes</t>
        </is>
      </c>
      <c r="B18" s="36" t="inlineStr">
        <is>
          <t>pedidos do canal ainda não descontados do saldo físico ou das reservas.</t>
        </is>
      </c>
    </row>
    <row r="19" ht="31" customHeight="1">
      <c r="A19" s="37" t="inlineStr">
        <is>
          <t>Disponível global</t>
        </is>
      </c>
      <c r="B19" s="36" t="inlineStr">
        <is>
          <t>quantidade restante após reservas, pedidos pendentes e estoque de segurança.</t>
        </is>
      </c>
    </row>
    <row r="20" ht="31" customHeight="1">
      <c r="A20" s="37" t="inlineStr">
        <is>
          <t>Saldo publicável</t>
        </is>
      </c>
      <c r="B20" s="36" t="inlineStr">
        <is>
          <t>parcela do disponível global destinada ao canal.</t>
        </is>
      </c>
    </row>
    <row r="21" ht="31" customHeight="1">
      <c r="A21" s="37" t="inlineStr">
        <is>
          <t>Diferença</t>
        </is>
      </c>
      <c r="B21" s="36" t="inlineStr">
        <is>
          <t>saldo publicável menos saldo publicado.</t>
        </is>
      </c>
    </row>
    <row r="22" ht="31" customHeight="1">
      <c r="A22" s="37" t="inlineStr">
        <is>
          <t>Overselling</t>
        </is>
      </c>
      <c r="B22" s="36" t="inlineStr">
        <is>
          <t>risco operacional de existir mais saldo anunciado do que o limite calculado.</t>
        </is>
      </c>
    </row>
    <row r="23"/>
    <row r="24"/>
    <row r="25">
      <c r="A25" s="7" t="inlineStr">
        <is>
          <t>Observação sobre os exemplos</t>
        </is>
      </c>
    </row>
    <row r="26" ht="45" customHeight="1">
      <c r="A26" s="38" t="inlineStr">
        <is>
          <t>Todos os exemplos deste arquivo são fictícios. Para iniciar o uso real, substitua apenas os dados das células amarelas e mantenha as fórmulas das células cinza.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2026-09-06T23:13:56Z</dcterms:created>
  <dcterms:modified xmlns:dcterms="http://purl.org/dc/terms/" xmlns:xsi="http://www.w3.org/2001/XMLSchema-instance" xsi:type="dcterms:W3CDTF">2026-09-06T23:13:58+00:00Z</dcterms:modified>
</cp:coreProperties>
</file>