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Regras" sheetId="3" state="visible" r:id="rId3"/>
    <sheet xmlns:r="http://schemas.openxmlformats.org/officeDocument/2006/relationships" name="Rodadas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R$ 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6645E"/>
      <sz val="10"/>
    </font>
    <font>
      <name val="Calibri"/>
      <b val="1"/>
      <color rgb="0017372E"/>
      <sz val="11"/>
    </font>
    <font>
      <name val="Calibri"/>
      <b val="1"/>
      <color rgb="00FFFFFF"/>
      <sz val="10"/>
    </font>
    <font>
      <name val="Calibri"/>
      <b val="1"/>
      <color rgb="0017372E"/>
      <sz val="16"/>
    </font>
    <font>
      <name val="Calibri"/>
      <color rgb="0026352F"/>
      <sz val="10"/>
    </font>
    <font>
      <name val="Calibri"/>
      <b val="1"/>
      <color rgb="00B7473A"/>
      <sz val="10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FF1C9"/>
      </patternFill>
    </fill>
    <fill>
      <patternFill patternType="solid">
        <fgColor rgb="00E9E7E2"/>
      </patternFill>
    </fill>
    <fill>
      <patternFill patternType="solid">
        <fgColor rgb="00C65D32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DCECE5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3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1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4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164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/>
    </xf>
    <xf numFmtId="166" fontId="6" fillId="3" borderId="1" applyAlignment="1" pivotButton="0" quotePrefix="0" xfId="0">
      <alignment vertical="center"/>
    </xf>
    <xf numFmtId="165" fontId="6" fillId="3" borderId="1" applyAlignment="1" pivotButton="0" quotePrefix="0" xfId="0">
      <alignment vertical="center"/>
    </xf>
    <xf numFmtId="166" fontId="6" fillId="4" borderId="1" applyAlignment="1" pivotButton="0" quotePrefix="0" xfId="0">
      <alignment vertical="center"/>
    </xf>
    <xf numFmtId="1" fontId="6" fillId="3" borderId="1" applyAlignment="1" pivotButton="0" quotePrefix="0" xfId="0">
      <alignment vertical="center"/>
    </xf>
    <xf numFmtId="0" fontId="6" fillId="4" borderId="1" applyAlignment="1" pivotButton="0" quotePrefix="0" xfId="0">
      <alignment vertical="top" wrapText="1"/>
    </xf>
    <xf numFmtId="0" fontId="4" fillId="5" borderId="1" pivotButton="0" quotePrefix="0" xfId="0"/>
    <xf numFmtId="0" fontId="6" fillId="6" borderId="1" pivotButton="0" quotePrefix="0" xfId="0"/>
    <xf numFmtId="164" fontId="6" fillId="3" borderId="1" applyAlignment="1" pivotButton="0" quotePrefix="0" xfId="0">
      <alignment vertical="center"/>
    </xf>
    <xf numFmtId="0" fontId="6" fillId="3" borderId="1" applyAlignment="1" pivotButton="0" quotePrefix="0" xfId="0">
      <alignment vertical="top" wrapText="1"/>
    </xf>
    <xf numFmtId="0" fontId="6" fillId="4" borderId="1" applyAlignment="1" pivotButton="0" quotePrefix="0" xfId="0">
      <alignment vertical="center"/>
    </xf>
    <xf numFmtId="165" fontId="6" fillId="4" borderId="1" applyAlignment="1" pivotButton="0" quotePrefix="0" xfId="0">
      <alignment vertical="center"/>
    </xf>
    <xf numFmtId="1" fontId="6" fillId="4" borderId="1" applyAlignment="1" pivotButton="0" quotePrefix="0" xfId="0">
      <alignment vertical="center"/>
    </xf>
    <xf numFmtId="166" fontId="6" fillId="8" borderId="1" applyAlignment="1" pivotButton="0" quotePrefix="0" xfId="0">
      <alignment vertical="center"/>
    </xf>
    <xf numFmtId="0" fontId="0" fillId="6" borderId="1" applyAlignment="1" pivotButton="0" quotePrefix="0" xfId="0">
      <alignment vertical="top" wrapText="1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vertical="top" wrapText="1"/>
    </xf>
    <xf numFmtId="0" fontId="3" fillId="7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0" fontId="7" fillId="6" borderId="1" applyAlignment="1" pivotButton="0" quotePrefix="0" xfId="0">
      <alignment vertical="top" wrapText="1"/>
    </xf>
    <xf numFmtId="0" fontId="7" fillId="7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name val="Calibri"/>
        <b val="1"/>
        <color rgb="002D6A57"/>
        <sz val="10"/>
      </font>
      <fill>
        <patternFill patternType="solid">
          <fgColor rgb="00DCECE5"/>
        </patternFill>
      </fill>
    </dxf>
    <dxf>
      <font>
        <name val="Calibri"/>
        <b val="1"/>
        <color rgb="00B7473A"/>
        <sz val="10"/>
      </font>
      <fill>
        <patternFill patternType="solid">
          <fgColor rgb="00F4D6D2"/>
        </patternFill>
      </fill>
    </dxf>
    <dxf>
      <font>
        <name val="Calibri"/>
        <color rgb="0026352F"/>
        <sz val="10"/>
      </font>
      <fill>
        <patternFill patternType="solid">
          <fgColor rgb="00E9E7E2"/>
        </patternFill>
      </fill>
    </dxf>
    <dxf>
      <font>
        <name val="Calibri"/>
        <b val="1"/>
        <color rgb="00B7473A"/>
        <sz val="10"/>
      </font>
      <fill>
        <patternFill patternType="solid">
          <fgColor rgb="00FFE6A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Direção das recomendações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'Resumo'!B12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'Resumo'!$A$13:$A$15</f>
            </numRef>
          </cat>
          <val>
            <numRef>
              <f>'Resumo'!$B$13:$B$15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Histórico do SKU selecionado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'Resumo'!C20</f>
            </strRef>
          </tx>
          <spPr>
            <a:ln xmlns:a="http://schemas.openxmlformats.org/drawingml/2006/main" w="24000">
              <a:solidFill>
                <a:srgbClr val="6D756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'Resumo'!$B$21:$B$40</f>
            </numRef>
          </cat>
          <val>
            <numRef>
              <f>'Resumo'!$C$21:$C$40</f>
            </numRef>
          </val>
        </ser>
        <ser>
          <idx val="1"/>
          <order val="1"/>
          <tx>
            <strRef>
              <f>'Resumo'!D20</f>
            </strRef>
          </tx>
          <spPr>
            <a:ln xmlns:a="http://schemas.openxmlformats.org/drawingml/2006/main" w="24000">
              <a:solidFill>
                <a:srgbClr val="2D6A5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'Resumo'!$B$21:$B$40</f>
            </numRef>
          </cat>
          <val>
            <numRef>
              <f>'Resumo'!$D$21:$D$40</f>
            </numRef>
          </val>
        </ser>
        <ser>
          <idx val="2"/>
          <order val="2"/>
          <tx>
            <strRef>
              <f>'Resumo'!E20</f>
            </strRef>
          </tx>
          <spPr>
            <a:ln xmlns:a="http://schemas.openxmlformats.org/drawingml/2006/main" w="24000">
              <a:solidFill>
                <a:srgbClr val="C65D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'Resumo'!$B$21:$B$40</f>
            </numRef>
          </cat>
          <val>
            <numRef>
              <f>'Resumo'!$E$21:$E$40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780000" cy="15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55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Produtos" displayName="tbProdutos" ref="A3:L103" headerRowCount="1">
  <autoFilter ref="A3:L103"/>
  <tableColumns count="12">
    <tableColumn id="1" name="SKU"/>
    <tableColumn id="2" name="Produto"/>
    <tableColumn id="3" name="Canal principal"/>
    <tableColumn id="4" name="Custo unitário"/>
    <tableColumn id="5" name="Margem mínima sobre o preço"/>
    <tableColumn id="6" name="Piso manual"/>
    <tableColumn id="7" name="Piso por margem"/>
    <tableColumn id="8" name="Piso vigente"/>
    <tableColumn id="9" name="Teto de preço"/>
    <tableColumn id="10" name="Estoque-alvo"/>
    <tableColumn id="11" name="Status"/>
    <tableColumn id="12" name="Checagem"/>
  </tableColumns>
</table>
</file>

<file path=xl/tables/table2.xml><?xml version="1.0" encoding="utf-8"?>
<table xmlns="http://schemas.openxmlformats.org/spreadsheetml/2006/main" id="2" name="tbRegras" displayName="tbRegras" ref="A3:P103" headerRowCount="1">
  <autoFilter ref="A3:P103"/>
  <tableColumns count="16">
    <tableColumn id="1" name="Código da regra"/>
    <tableColumn id="2" name="Nome da regra"/>
    <tableColumn id="3" name="Demanda baixa até"/>
    <tableColumn id="4" name="Demanda alta a partir"/>
    <tableColumn id="5" name="Ajuste por demanda baixa"/>
    <tableColumn id="6" name="Ajuste por demanda alta"/>
    <tableColumn id="7" name="Diferença concorrente relevante"/>
    <tableColumn id="8" name="Ajuste se concorrente mais barato"/>
    <tableColumn id="9" name="Ajuste se concorrente mais caro"/>
    <tableColumn id="10" name="Estoque baixo até"/>
    <tableColumn id="11" name="Estoque alto a partir"/>
    <tableColumn id="12" name="Ajuste por estoque baixo"/>
    <tableColumn id="13" name="Ajuste por estoque alto"/>
    <tableColumn id="14" name="Limite por rodada"/>
    <tableColumn id="15" name="Ativa"/>
    <tableColumn id="16" name="Checagem"/>
  </tableColumns>
</table>
</file>

<file path=xl/tables/table3.xml><?xml version="1.0" encoding="utf-8"?>
<table xmlns="http://schemas.openxmlformats.org/spreadsheetml/2006/main" id="3" name="tbRodadas" displayName="tbRodadas" ref="A4:AG204" headerRowCount="1">
  <autoFilter ref="A4:AG204"/>
  <tableColumns count="33">
    <tableColumn id="1" name="ID da rodada"/>
    <tableColumn id="2" name="Data da rodada"/>
    <tableColumn id="3" name="SKU"/>
    <tableColumn id="4" name="Regra aplicada"/>
    <tableColumn id="5" name="Preço atual"/>
    <tableColumn id="6" name="Índice de demanda"/>
    <tableColumn id="7" name="Preço concorrente"/>
    <tableColumn id="8" name="Estoque disponível"/>
    <tableColumn id="9" name="Decisão"/>
    <tableColumn id="10" name="Preço manual aprovado"/>
    <tableColumn id="11" name="Observação"/>
    <tableColumn id="12" name="Produto"/>
    <tableColumn id="13" name="Canal principal"/>
    <tableColumn id="14" name="Custo unitário"/>
    <tableColumn id="15" name="Margem mínima"/>
    <tableColumn id="16" name="Piso por margem"/>
    <tableColumn id="17" name="Piso vigente"/>
    <tableColumn id="18" name="Teto de preço"/>
    <tableColumn id="19" name="Estoque-alvo"/>
    <tableColumn id="20" name="Ajuste de demanda"/>
    <tableColumn id="21" name="Ajuste de concorrência"/>
    <tableColumn id="22" name="Ajuste de estoque"/>
    <tableColumn id="23" name="Ajuste total bruto"/>
    <tableColumn id="24" name="Ajuste aplicado"/>
    <tableColumn id="25" name="Preço sem trava"/>
    <tableColumn id="26" name="Preço recomendado"/>
    <tableColumn id="27" name="Variação recomendada"/>
    <tableColumn id="28" name="Trava aplicada"/>
    <tableColumn id="29" name="Motivo do ajuste"/>
    <tableColumn id="30" name="Alertas da recomendação"/>
    <tableColumn id="31" name="Preço final da rodada"/>
    <tableColumn id="32" name="Checagem da decisão"/>
    <tableColumn id="33" name="Situação da linha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5" customWidth="1" min="2" max="2"/>
    <col width="25" customWidth="1" min="3" max="3"/>
    <col width="15" customWidth="1" min="4" max="4"/>
    <col width="25" customWidth="1" min="5" max="5"/>
    <col hidden="1" width="13" customWidth="1" min="6" max="6"/>
    <col width="25" customWidth="1" min="7" max="7"/>
    <col width="15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28" customHeight="1">
      <c r="A1" s="1" t="inlineStr">
        <is>
          <t>Painel de precificação dinâmica</t>
        </is>
      </c>
    </row>
    <row r="2">
      <c r="A2" s="2" t="inlineStr">
        <is>
          <t>Resumo das rodadas e recomendações de preço</t>
        </is>
      </c>
    </row>
    <row r="3">
      <c r="A3" s="3" t="inlineStr">
        <is>
          <t>SKU para evolução</t>
        </is>
      </c>
      <c r="B3" s="4" t="inlineStr">
        <is>
          <t>FIC-001</t>
        </is>
      </c>
      <c r="D3" s="3" t="inlineStr">
        <is>
          <t>Última rodada válida</t>
        </is>
      </c>
      <c r="E3" s="5">
        <f>IF(COUNTIF(Rodadas!$AG$5:$AG$204,"Pronta")=0,"",IFERROR(_xlfn.MAXIFS(Rodadas!$B$5:$B$204,Rodadas!$AG$5:$AG$204,"Pronta"),""))</f>
        <v/>
      </c>
    </row>
    <row r="4"/>
    <row r="5" ht="34" customHeight="1">
      <c r="A5" s="6" t="inlineStr">
        <is>
          <t>Rodadas prontas</t>
        </is>
      </c>
      <c r="C5" s="6" t="inlineStr">
        <is>
          <t>Aumentos recomendados</t>
        </is>
      </c>
      <c r="E5" s="6" t="inlineStr">
        <is>
          <t>Reduções recomendadas</t>
        </is>
      </c>
      <c r="G5" s="6" t="inlineStr">
        <is>
          <t>Travas de piso ou teto</t>
        </is>
      </c>
    </row>
    <row r="6" ht="30" customHeight="1">
      <c r="A6" s="7">
        <f>COUNTIF(Rodadas!$AG$5:$AG$204,"Pronta")</f>
        <v/>
      </c>
      <c r="C6" s="7">
        <f>COUNTIFS(Rodadas!$AG$5:$AG$204,"Pronta",Rodadas!$AA$5:$AA$204,"&gt;0.000001")</f>
        <v/>
      </c>
      <c r="E6" s="7">
        <f>COUNTIFS(Rodadas!$AG$5:$AG$204,"Pronta",Rodadas!$AA$5:$AA$204,"&lt;-0.000001")</f>
        <v/>
      </c>
      <c r="G6" s="7">
        <f>COUNTIFS(Rodadas!$AG$5:$AG$204,"Pronta",Rodadas!$AB$5:$AB$204,"&lt;&gt;Nenhuma",Rodadas!$AB$5:$AB$204,"&lt;&gt;")</f>
        <v/>
      </c>
    </row>
    <row r="7"/>
    <row r="8" ht="34" customHeight="1">
      <c r="A8" s="6" t="inlineStr">
        <is>
          <t>Variação média recomendada</t>
        </is>
      </c>
      <c r="C8" s="6" t="inlineStr">
        <is>
          <t>Preço médio recomendado</t>
        </is>
      </c>
      <c r="E8" s="6" t="inlineStr">
        <is>
          <t>Decisões pendentes</t>
        </is>
      </c>
      <c r="G8" s="6" t="inlineStr">
        <is>
          <t>Linhas a revisar</t>
        </is>
      </c>
    </row>
    <row r="9" ht="30" customHeight="1">
      <c r="A9" s="8">
        <f>IFERROR(AVERAGEIFS(Rodadas!$AA$5:$AA$204,Rodadas!$AG$5:$AG$204,"Pronta"),"")</f>
        <v/>
      </c>
      <c r="C9" s="9">
        <f>IFERROR(AVERAGEIFS(Rodadas!$Z$5:$Z$204,Rodadas!$AG$5:$AG$204,"Pronta"),"")</f>
        <v/>
      </c>
      <c r="E9" s="7">
        <f>COUNTIFS(Rodadas!$AG$5:$AG$204,"Pronta",Rodadas!$I$5:$I$204,"Pendente")+COUNTIFS(Rodadas!$AG$5:$AG$204,"Pronta",Rodadas!$I$5:$I$204,"")</f>
        <v/>
      </c>
      <c r="G9" s="7">
        <f>COUNTIF(Rodadas!$AG$5:$AG$204,"Revisar")+COUNTIF(Rodadas!$AG$5:$AG$204,"Incompleta")</f>
        <v/>
      </c>
    </row>
    <row r="10"/>
    <row r="11"/>
    <row r="12" ht="38" customHeight="1">
      <c r="A12" s="6" t="inlineStr">
        <is>
          <t>Direção</t>
        </is>
      </c>
      <c r="B12" s="6" t="inlineStr">
        <is>
          <t>Quantidade</t>
        </is>
      </c>
    </row>
    <row r="13">
      <c r="A13" s="10" t="inlineStr">
        <is>
          <t>Aumento</t>
        </is>
      </c>
      <c r="B13" s="10">
        <f>$C$6</f>
        <v/>
      </c>
    </row>
    <row r="14">
      <c r="A14" s="11" t="inlineStr">
        <is>
          <t>Redução</t>
        </is>
      </c>
      <c r="B14" s="11">
        <f>$E$6</f>
        <v/>
      </c>
    </row>
    <row r="15">
      <c r="A15" s="10" t="inlineStr">
        <is>
          <t>Sem alteração</t>
        </is>
      </c>
      <c r="B15" s="10">
        <f>COUNTIFS(Rodadas!$AG$5:$AG$204,"Pronta",Rodadas!$AA$5:$AA$204,"&gt;=-0.000001",Rodadas!$AA$5:$AA$204,"&lt;=0.000001")</f>
        <v/>
      </c>
    </row>
    <row r="16"/>
    <row r="17"/>
    <row r="18"/>
    <row r="19"/>
    <row r="20" ht="38" customHeight="1">
      <c r="A20" s="6" t="inlineStr">
        <is>
          <t>Sequência</t>
        </is>
      </c>
      <c r="B20" s="6" t="inlineStr">
        <is>
          <t>Data</t>
        </is>
      </c>
      <c r="C20" s="6" t="inlineStr">
        <is>
          <t>Preço atual</t>
        </is>
      </c>
      <c r="D20" s="6" t="inlineStr">
        <is>
          <t>Preço recomendado</t>
        </is>
      </c>
      <c r="E20" s="6" t="inlineStr">
        <is>
          <t>Preço final</t>
        </is>
      </c>
      <c r="F20" s="6" t="inlineStr">
        <is>
          <t>Índice da fonte</t>
        </is>
      </c>
    </row>
    <row r="21">
      <c r="A21" s="10" t="n">
        <v>1</v>
      </c>
      <c r="B21" s="12">
        <f>IF($F21="","",INDEX(Rodadas!$B$5:$B$204,$F21))</f>
        <v/>
      </c>
      <c r="C21" s="13">
        <f>IF($F21="","",INDEX(Rodadas!$E$5:$E$204,$F21))</f>
        <v/>
      </c>
      <c r="D21" s="13">
        <f>IF($F21="","",INDEX(Rodadas!$Z$5:$Z$204,$F21))</f>
        <v/>
      </c>
      <c r="E21" s="13">
        <f>IF($F21="","",INDEX(Rodadas!$AE$5:$AE$204,$F21))</f>
        <v/>
      </c>
      <c r="F21" s="10">
        <f>IFERROR(AGGREGATE(15,6,(ROW(Rodadas!$C$5:$C$204)-ROW(Rodadas!$C$5)+1)/((Rodadas!$C$5:$C$204=$B$3)*(Rodadas!$AG$5:$AG$204="Pronta")),ROWS($F$21:F21)),"")</f>
        <v/>
      </c>
    </row>
    <row r="22">
      <c r="A22" s="11" t="n">
        <v>2</v>
      </c>
      <c r="B22" s="14">
        <f>IF($F22="","",INDEX(Rodadas!$B$5:$B$204,$F22))</f>
        <v/>
      </c>
      <c r="C22" s="15">
        <f>IF($F22="","",INDEX(Rodadas!$E$5:$E$204,$F22))</f>
        <v/>
      </c>
      <c r="D22" s="15">
        <f>IF($F22="","",INDEX(Rodadas!$Z$5:$Z$204,$F22))</f>
        <v/>
      </c>
      <c r="E22" s="15">
        <f>IF($F22="","",INDEX(Rodadas!$AE$5:$AE$204,$F22))</f>
        <v/>
      </c>
      <c r="F22" s="11">
        <f>IFERROR(AGGREGATE(15,6,(ROW(Rodadas!$C$5:$C$204)-ROW(Rodadas!$C$5)+1)/((Rodadas!$C$5:$C$204=$B$3)*(Rodadas!$AG$5:$AG$204="Pronta")),ROWS($F$21:F22)),"")</f>
        <v/>
      </c>
    </row>
    <row r="23">
      <c r="A23" s="10" t="n">
        <v>3</v>
      </c>
      <c r="B23" s="12">
        <f>IF($F23="","",INDEX(Rodadas!$B$5:$B$204,$F23))</f>
        <v/>
      </c>
      <c r="C23" s="13">
        <f>IF($F23="","",INDEX(Rodadas!$E$5:$E$204,$F23))</f>
        <v/>
      </c>
      <c r="D23" s="13">
        <f>IF($F23="","",INDEX(Rodadas!$Z$5:$Z$204,$F23))</f>
        <v/>
      </c>
      <c r="E23" s="13">
        <f>IF($F23="","",INDEX(Rodadas!$AE$5:$AE$204,$F23))</f>
        <v/>
      </c>
      <c r="F23" s="10">
        <f>IFERROR(AGGREGATE(15,6,(ROW(Rodadas!$C$5:$C$204)-ROW(Rodadas!$C$5)+1)/((Rodadas!$C$5:$C$204=$B$3)*(Rodadas!$AG$5:$AG$204="Pronta")),ROWS($F$21:F23)),"")</f>
        <v/>
      </c>
    </row>
    <row r="24">
      <c r="A24" s="11" t="n">
        <v>4</v>
      </c>
      <c r="B24" s="14">
        <f>IF($F24="","",INDEX(Rodadas!$B$5:$B$204,$F24))</f>
        <v/>
      </c>
      <c r="C24" s="15">
        <f>IF($F24="","",INDEX(Rodadas!$E$5:$E$204,$F24))</f>
        <v/>
      </c>
      <c r="D24" s="15">
        <f>IF($F24="","",INDEX(Rodadas!$Z$5:$Z$204,$F24))</f>
        <v/>
      </c>
      <c r="E24" s="15">
        <f>IF($F24="","",INDEX(Rodadas!$AE$5:$AE$204,$F24))</f>
        <v/>
      </c>
      <c r="F24" s="11">
        <f>IFERROR(AGGREGATE(15,6,(ROW(Rodadas!$C$5:$C$204)-ROW(Rodadas!$C$5)+1)/((Rodadas!$C$5:$C$204=$B$3)*(Rodadas!$AG$5:$AG$204="Pronta")),ROWS($F$21:F24)),"")</f>
        <v/>
      </c>
    </row>
    <row r="25">
      <c r="A25" s="10" t="n">
        <v>5</v>
      </c>
      <c r="B25" s="12">
        <f>IF($F25="","",INDEX(Rodadas!$B$5:$B$204,$F25))</f>
        <v/>
      </c>
      <c r="C25" s="13">
        <f>IF($F25="","",INDEX(Rodadas!$E$5:$E$204,$F25))</f>
        <v/>
      </c>
      <c r="D25" s="13">
        <f>IF($F25="","",INDEX(Rodadas!$Z$5:$Z$204,$F25))</f>
        <v/>
      </c>
      <c r="E25" s="13">
        <f>IF($F25="","",INDEX(Rodadas!$AE$5:$AE$204,$F25))</f>
        <v/>
      </c>
      <c r="F25" s="10">
        <f>IFERROR(AGGREGATE(15,6,(ROW(Rodadas!$C$5:$C$204)-ROW(Rodadas!$C$5)+1)/((Rodadas!$C$5:$C$204=$B$3)*(Rodadas!$AG$5:$AG$204="Pronta")),ROWS($F$21:F25)),"")</f>
        <v/>
      </c>
    </row>
    <row r="26">
      <c r="A26" s="11" t="n">
        <v>6</v>
      </c>
      <c r="B26" s="14">
        <f>IF($F26="","",INDEX(Rodadas!$B$5:$B$204,$F26))</f>
        <v/>
      </c>
      <c r="C26" s="15">
        <f>IF($F26="","",INDEX(Rodadas!$E$5:$E$204,$F26))</f>
        <v/>
      </c>
      <c r="D26" s="15">
        <f>IF($F26="","",INDEX(Rodadas!$Z$5:$Z$204,$F26))</f>
        <v/>
      </c>
      <c r="E26" s="15">
        <f>IF($F26="","",INDEX(Rodadas!$AE$5:$AE$204,$F26))</f>
        <v/>
      </c>
      <c r="F26" s="11">
        <f>IFERROR(AGGREGATE(15,6,(ROW(Rodadas!$C$5:$C$204)-ROW(Rodadas!$C$5)+1)/((Rodadas!$C$5:$C$204=$B$3)*(Rodadas!$AG$5:$AG$204="Pronta")),ROWS($F$21:F26)),"")</f>
        <v/>
      </c>
    </row>
    <row r="27">
      <c r="A27" s="10" t="n">
        <v>7</v>
      </c>
      <c r="B27" s="12">
        <f>IF($F27="","",INDEX(Rodadas!$B$5:$B$204,$F27))</f>
        <v/>
      </c>
      <c r="C27" s="13">
        <f>IF($F27="","",INDEX(Rodadas!$E$5:$E$204,$F27))</f>
        <v/>
      </c>
      <c r="D27" s="13">
        <f>IF($F27="","",INDEX(Rodadas!$Z$5:$Z$204,$F27))</f>
        <v/>
      </c>
      <c r="E27" s="13">
        <f>IF($F27="","",INDEX(Rodadas!$AE$5:$AE$204,$F27))</f>
        <v/>
      </c>
      <c r="F27" s="10">
        <f>IFERROR(AGGREGATE(15,6,(ROW(Rodadas!$C$5:$C$204)-ROW(Rodadas!$C$5)+1)/((Rodadas!$C$5:$C$204=$B$3)*(Rodadas!$AG$5:$AG$204="Pronta")),ROWS($F$21:F27)),"")</f>
        <v/>
      </c>
    </row>
    <row r="28">
      <c r="A28" s="11" t="n">
        <v>8</v>
      </c>
      <c r="B28" s="14">
        <f>IF($F28="","",INDEX(Rodadas!$B$5:$B$204,$F28))</f>
        <v/>
      </c>
      <c r="C28" s="15">
        <f>IF($F28="","",INDEX(Rodadas!$E$5:$E$204,$F28))</f>
        <v/>
      </c>
      <c r="D28" s="15">
        <f>IF($F28="","",INDEX(Rodadas!$Z$5:$Z$204,$F28))</f>
        <v/>
      </c>
      <c r="E28" s="15">
        <f>IF($F28="","",INDEX(Rodadas!$AE$5:$AE$204,$F28))</f>
        <v/>
      </c>
      <c r="F28" s="11">
        <f>IFERROR(AGGREGATE(15,6,(ROW(Rodadas!$C$5:$C$204)-ROW(Rodadas!$C$5)+1)/((Rodadas!$C$5:$C$204=$B$3)*(Rodadas!$AG$5:$AG$204="Pronta")),ROWS($F$21:F28)),"")</f>
        <v/>
      </c>
    </row>
    <row r="29">
      <c r="A29" s="10" t="n">
        <v>9</v>
      </c>
      <c r="B29" s="12">
        <f>IF($F29="","",INDEX(Rodadas!$B$5:$B$204,$F29))</f>
        <v/>
      </c>
      <c r="C29" s="13">
        <f>IF($F29="","",INDEX(Rodadas!$E$5:$E$204,$F29))</f>
        <v/>
      </c>
      <c r="D29" s="13">
        <f>IF($F29="","",INDEX(Rodadas!$Z$5:$Z$204,$F29))</f>
        <v/>
      </c>
      <c r="E29" s="13">
        <f>IF($F29="","",INDEX(Rodadas!$AE$5:$AE$204,$F29))</f>
        <v/>
      </c>
      <c r="F29" s="10">
        <f>IFERROR(AGGREGATE(15,6,(ROW(Rodadas!$C$5:$C$204)-ROW(Rodadas!$C$5)+1)/((Rodadas!$C$5:$C$204=$B$3)*(Rodadas!$AG$5:$AG$204="Pronta")),ROWS($F$21:F29)),"")</f>
        <v/>
      </c>
    </row>
    <row r="30">
      <c r="A30" s="11" t="n">
        <v>10</v>
      </c>
      <c r="B30" s="14">
        <f>IF($F30="","",INDEX(Rodadas!$B$5:$B$204,$F30))</f>
        <v/>
      </c>
      <c r="C30" s="15">
        <f>IF($F30="","",INDEX(Rodadas!$E$5:$E$204,$F30))</f>
        <v/>
      </c>
      <c r="D30" s="15">
        <f>IF($F30="","",INDEX(Rodadas!$Z$5:$Z$204,$F30))</f>
        <v/>
      </c>
      <c r="E30" s="15">
        <f>IF($F30="","",INDEX(Rodadas!$AE$5:$AE$204,$F30))</f>
        <v/>
      </c>
      <c r="F30" s="11">
        <f>IFERROR(AGGREGATE(15,6,(ROW(Rodadas!$C$5:$C$204)-ROW(Rodadas!$C$5)+1)/((Rodadas!$C$5:$C$204=$B$3)*(Rodadas!$AG$5:$AG$204="Pronta")),ROWS($F$21:F30)),"")</f>
        <v/>
      </c>
    </row>
    <row r="31">
      <c r="A31" s="10" t="n">
        <v>11</v>
      </c>
      <c r="B31" s="12">
        <f>IF($F31="","",INDEX(Rodadas!$B$5:$B$204,$F31))</f>
        <v/>
      </c>
      <c r="C31" s="13">
        <f>IF($F31="","",INDEX(Rodadas!$E$5:$E$204,$F31))</f>
        <v/>
      </c>
      <c r="D31" s="13">
        <f>IF($F31="","",INDEX(Rodadas!$Z$5:$Z$204,$F31))</f>
        <v/>
      </c>
      <c r="E31" s="13">
        <f>IF($F31="","",INDEX(Rodadas!$AE$5:$AE$204,$F31))</f>
        <v/>
      </c>
      <c r="F31" s="10">
        <f>IFERROR(AGGREGATE(15,6,(ROW(Rodadas!$C$5:$C$204)-ROW(Rodadas!$C$5)+1)/((Rodadas!$C$5:$C$204=$B$3)*(Rodadas!$AG$5:$AG$204="Pronta")),ROWS($F$21:F31)),"")</f>
        <v/>
      </c>
    </row>
    <row r="32">
      <c r="A32" s="11" t="n">
        <v>12</v>
      </c>
      <c r="B32" s="14">
        <f>IF($F32="","",INDEX(Rodadas!$B$5:$B$204,$F32))</f>
        <v/>
      </c>
      <c r="C32" s="15">
        <f>IF($F32="","",INDEX(Rodadas!$E$5:$E$204,$F32))</f>
        <v/>
      </c>
      <c r="D32" s="15">
        <f>IF($F32="","",INDEX(Rodadas!$Z$5:$Z$204,$F32))</f>
        <v/>
      </c>
      <c r="E32" s="15">
        <f>IF($F32="","",INDEX(Rodadas!$AE$5:$AE$204,$F32))</f>
        <v/>
      </c>
      <c r="F32" s="11">
        <f>IFERROR(AGGREGATE(15,6,(ROW(Rodadas!$C$5:$C$204)-ROW(Rodadas!$C$5)+1)/((Rodadas!$C$5:$C$204=$B$3)*(Rodadas!$AG$5:$AG$204="Pronta")),ROWS($F$21:F32)),"")</f>
        <v/>
      </c>
    </row>
    <row r="33">
      <c r="A33" s="10" t="n">
        <v>13</v>
      </c>
      <c r="B33" s="12">
        <f>IF($F33="","",INDEX(Rodadas!$B$5:$B$204,$F33))</f>
        <v/>
      </c>
      <c r="C33" s="13">
        <f>IF($F33="","",INDEX(Rodadas!$E$5:$E$204,$F33))</f>
        <v/>
      </c>
      <c r="D33" s="13">
        <f>IF($F33="","",INDEX(Rodadas!$Z$5:$Z$204,$F33))</f>
        <v/>
      </c>
      <c r="E33" s="13">
        <f>IF($F33="","",INDEX(Rodadas!$AE$5:$AE$204,$F33))</f>
        <v/>
      </c>
      <c r="F33" s="10">
        <f>IFERROR(AGGREGATE(15,6,(ROW(Rodadas!$C$5:$C$204)-ROW(Rodadas!$C$5)+1)/((Rodadas!$C$5:$C$204=$B$3)*(Rodadas!$AG$5:$AG$204="Pronta")),ROWS($F$21:F33)),"")</f>
        <v/>
      </c>
    </row>
    <row r="34">
      <c r="A34" s="11" t="n">
        <v>14</v>
      </c>
      <c r="B34" s="14">
        <f>IF($F34="","",INDEX(Rodadas!$B$5:$B$204,$F34))</f>
        <v/>
      </c>
      <c r="C34" s="15">
        <f>IF($F34="","",INDEX(Rodadas!$E$5:$E$204,$F34))</f>
        <v/>
      </c>
      <c r="D34" s="15">
        <f>IF($F34="","",INDEX(Rodadas!$Z$5:$Z$204,$F34))</f>
        <v/>
      </c>
      <c r="E34" s="15">
        <f>IF($F34="","",INDEX(Rodadas!$AE$5:$AE$204,$F34))</f>
        <v/>
      </c>
      <c r="F34" s="11">
        <f>IFERROR(AGGREGATE(15,6,(ROW(Rodadas!$C$5:$C$204)-ROW(Rodadas!$C$5)+1)/((Rodadas!$C$5:$C$204=$B$3)*(Rodadas!$AG$5:$AG$204="Pronta")),ROWS($F$21:F34)),"")</f>
        <v/>
      </c>
    </row>
    <row r="35">
      <c r="A35" s="10" t="n">
        <v>15</v>
      </c>
      <c r="B35" s="12">
        <f>IF($F35="","",INDEX(Rodadas!$B$5:$B$204,$F35))</f>
        <v/>
      </c>
      <c r="C35" s="13">
        <f>IF($F35="","",INDEX(Rodadas!$E$5:$E$204,$F35))</f>
        <v/>
      </c>
      <c r="D35" s="13">
        <f>IF($F35="","",INDEX(Rodadas!$Z$5:$Z$204,$F35))</f>
        <v/>
      </c>
      <c r="E35" s="13">
        <f>IF($F35="","",INDEX(Rodadas!$AE$5:$AE$204,$F35))</f>
        <v/>
      </c>
      <c r="F35" s="10">
        <f>IFERROR(AGGREGATE(15,6,(ROW(Rodadas!$C$5:$C$204)-ROW(Rodadas!$C$5)+1)/((Rodadas!$C$5:$C$204=$B$3)*(Rodadas!$AG$5:$AG$204="Pronta")),ROWS($F$21:F35)),"")</f>
        <v/>
      </c>
    </row>
    <row r="36">
      <c r="A36" s="11" t="n">
        <v>16</v>
      </c>
      <c r="B36" s="14">
        <f>IF($F36="","",INDEX(Rodadas!$B$5:$B$204,$F36))</f>
        <v/>
      </c>
      <c r="C36" s="15">
        <f>IF($F36="","",INDEX(Rodadas!$E$5:$E$204,$F36))</f>
        <v/>
      </c>
      <c r="D36" s="15">
        <f>IF($F36="","",INDEX(Rodadas!$Z$5:$Z$204,$F36))</f>
        <v/>
      </c>
      <c r="E36" s="15">
        <f>IF($F36="","",INDEX(Rodadas!$AE$5:$AE$204,$F36))</f>
        <v/>
      </c>
      <c r="F36" s="11">
        <f>IFERROR(AGGREGATE(15,6,(ROW(Rodadas!$C$5:$C$204)-ROW(Rodadas!$C$5)+1)/((Rodadas!$C$5:$C$204=$B$3)*(Rodadas!$AG$5:$AG$204="Pronta")),ROWS($F$21:F36)),"")</f>
        <v/>
      </c>
    </row>
    <row r="37">
      <c r="A37" s="10" t="n">
        <v>17</v>
      </c>
      <c r="B37" s="12">
        <f>IF($F37="","",INDEX(Rodadas!$B$5:$B$204,$F37))</f>
        <v/>
      </c>
      <c r="C37" s="13">
        <f>IF($F37="","",INDEX(Rodadas!$E$5:$E$204,$F37))</f>
        <v/>
      </c>
      <c r="D37" s="13">
        <f>IF($F37="","",INDEX(Rodadas!$Z$5:$Z$204,$F37))</f>
        <v/>
      </c>
      <c r="E37" s="13">
        <f>IF($F37="","",INDEX(Rodadas!$AE$5:$AE$204,$F37))</f>
        <v/>
      </c>
      <c r="F37" s="10">
        <f>IFERROR(AGGREGATE(15,6,(ROW(Rodadas!$C$5:$C$204)-ROW(Rodadas!$C$5)+1)/((Rodadas!$C$5:$C$204=$B$3)*(Rodadas!$AG$5:$AG$204="Pronta")),ROWS($F$21:F37)),"")</f>
        <v/>
      </c>
    </row>
    <row r="38">
      <c r="A38" s="11" t="n">
        <v>18</v>
      </c>
      <c r="B38" s="14">
        <f>IF($F38="","",INDEX(Rodadas!$B$5:$B$204,$F38))</f>
        <v/>
      </c>
      <c r="C38" s="15">
        <f>IF($F38="","",INDEX(Rodadas!$E$5:$E$204,$F38))</f>
        <v/>
      </c>
      <c r="D38" s="15">
        <f>IF($F38="","",INDEX(Rodadas!$Z$5:$Z$204,$F38))</f>
        <v/>
      </c>
      <c r="E38" s="15">
        <f>IF($F38="","",INDEX(Rodadas!$AE$5:$AE$204,$F38))</f>
        <v/>
      </c>
      <c r="F38" s="11">
        <f>IFERROR(AGGREGATE(15,6,(ROW(Rodadas!$C$5:$C$204)-ROW(Rodadas!$C$5)+1)/((Rodadas!$C$5:$C$204=$B$3)*(Rodadas!$AG$5:$AG$204="Pronta")),ROWS($F$21:F38)),"")</f>
        <v/>
      </c>
    </row>
    <row r="39">
      <c r="A39" s="10" t="n">
        <v>19</v>
      </c>
      <c r="B39" s="12">
        <f>IF($F39="","",INDEX(Rodadas!$B$5:$B$204,$F39))</f>
        <v/>
      </c>
      <c r="C39" s="13">
        <f>IF($F39="","",INDEX(Rodadas!$E$5:$E$204,$F39))</f>
        <v/>
      </c>
      <c r="D39" s="13">
        <f>IF($F39="","",INDEX(Rodadas!$Z$5:$Z$204,$F39))</f>
        <v/>
      </c>
      <c r="E39" s="13">
        <f>IF($F39="","",INDEX(Rodadas!$AE$5:$AE$204,$F39))</f>
        <v/>
      </c>
      <c r="F39" s="10">
        <f>IFERROR(AGGREGATE(15,6,(ROW(Rodadas!$C$5:$C$204)-ROW(Rodadas!$C$5)+1)/((Rodadas!$C$5:$C$204=$B$3)*(Rodadas!$AG$5:$AG$204="Pronta")),ROWS($F$21:F39)),"")</f>
        <v/>
      </c>
    </row>
    <row r="40">
      <c r="A40" s="11" t="n">
        <v>20</v>
      </c>
      <c r="B40" s="14">
        <f>IF($F40="","",INDEX(Rodadas!$B$5:$B$204,$F40))</f>
        <v/>
      </c>
      <c r="C40" s="15">
        <f>IF($F40="","",INDEX(Rodadas!$E$5:$E$204,$F40))</f>
        <v/>
      </c>
      <c r="D40" s="15">
        <f>IF($F40="","",INDEX(Rodadas!$Z$5:$Z$204,$F40))</f>
        <v/>
      </c>
      <c r="E40" s="15">
        <f>IF($F40="","",INDEX(Rodadas!$AE$5:$AE$204,$F40))</f>
        <v/>
      </c>
      <c r="F40" s="11">
        <f>IFERROR(AGGREGATE(15,6,(ROW(Rodadas!$C$5:$C$204)-ROW(Rodadas!$C$5)+1)/((Rodadas!$C$5:$C$204=$B$3)*(Rodadas!$AG$5:$AG$204="Pronta")),ROWS($F$21:F40)),"")</f>
        <v/>
      </c>
    </row>
  </sheetData>
  <mergeCells count="1">
    <mergeCell ref="A1:H1"/>
  </mergeCells>
  <dataValidations count="1">
    <dataValidation sqref="B3" showDropDown="0" showInputMessage="0" showErrorMessage="1" allowBlank="0" errorTitle="SKU inválido" error="Selecione um SKU cadastrado na aba Produtos." type="list">
      <formula1>=INDIRECT("Produtos!$A$4:$A$103")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1" customWidth="1" min="2" max="2"/>
    <col width="37" customWidth="1" min="3" max="3"/>
    <col width="15" customWidth="1" min="4" max="4"/>
    <col width="22" customWidth="1" min="5" max="5"/>
    <col width="14" customWidth="1" min="6" max="6"/>
    <col width="15" customWidth="1" min="7" max="7"/>
    <col width="15" customWidth="1" min="8" max="8"/>
    <col width="15" customWidth="1" min="9" max="9"/>
    <col width="14" customWidth="1" min="10" max="10"/>
    <col width="12" customWidth="1" min="11" max="11"/>
    <col width="32" customWidth="1" min="12" max="12"/>
  </cols>
  <sheetData>
    <row r="1" ht="28" customHeight="1">
      <c r="A1" s="1" t="inlineStr">
        <is>
          <t>Produtos e limites de preço</t>
        </is>
      </c>
    </row>
    <row r="2" ht="28" customHeight="1">
      <c r="A2" s="2" t="inlineStr">
        <is>
          <t>Cadastre os limites comerciais usados nas rodadas. Valores de demonstração são fictícios.</t>
        </is>
      </c>
    </row>
    <row r="3" ht="38" customHeight="1">
      <c r="A3" s="6" t="inlineStr">
        <is>
          <t>SKU</t>
        </is>
      </c>
      <c r="B3" s="6" t="inlineStr">
        <is>
          <t>Produto</t>
        </is>
      </c>
      <c r="C3" s="6" t="inlineStr">
        <is>
          <t>Canal principal</t>
        </is>
      </c>
      <c r="D3" s="6" t="inlineStr">
        <is>
          <t>Custo unitário</t>
        </is>
      </c>
      <c r="E3" s="6" t="inlineStr">
        <is>
          <t>Margem mínima sobre o preço</t>
        </is>
      </c>
      <c r="F3" s="6" t="inlineStr">
        <is>
          <t>Piso manual</t>
        </is>
      </c>
      <c r="G3" s="6" t="inlineStr">
        <is>
          <t>Piso por margem</t>
        </is>
      </c>
      <c r="H3" s="6" t="inlineStr">
        <is>
          <t>Piso vigente</t>
        </is>
      </c>
      <c r="I3" s="6" t="inlineStr">
        <is>
          <t>Teto de preço</t>
        </is>
      </c>
      <c r="J3" s="6" t="inlineStr">
        <is>
          <t>Estoque-alvo</t>
        </is>
      </c>
      <c r="K3" s="6" t="inlineStr">
        <is>
          <t>Status</t>
        </is>
      </c>
      <c r="L3" s="6" t="inlineStr">
        <is>
          <t>Checagem</t>
        </is>
      </c>
    </row>
    <row r="4">
      <c r="A4" s="16" t="inlineStr">
        <is>
          <t>FIC-001</t>
        </is>
      </c>
      <c r="B4" s="16" t="inlineStr">
        <is>
          <t>Luminária Aurora Mini</t>
        </is>
      </c>
      <c r="C4" s="16" t="inlineStr">
        <is>
          <t>Loja Nuvem Clara — fictícia</t>
        </is>
      </c>
      <c r="D4" s="17" t="n">
        <v>48</v>
      </c>
      <c r="E4" s="18" t="n">
        <v>0.3</v>
      </c>
      <c r="F4" s="17" t="n">
        <v>72</v>
      </c>
      <c r="G4" s="19">
        <f>IF(OR($A4="",$D4="",$E4="",$D4&lt;=0,$E4&lt;0,$E4&gt;=1),"",IFERROR(ROUND($D4/(1-$E4),2),""))</f>
        <v/>
      </c>
      <c r="H4" s="19">
        <f>IF($A4="","",IF(AND($F4="",$G4=""),"",ROUND(MAX(IF($F4="",0,$F4),IF($G4="",0,$G4)),2)))</f>
        <v/>
      </c>
      <c r="I4" s="17" t="n">
        <v>129.9</v>
      </c>
      <c r="J4" s="20" t="n">
        <v>100</v>
      </c>
      <c r="K4" s="16" t="inlineStr">
        <is>
          <t>Ativo</t>
        </is>
      </c>
      <c r="L4" s="21">
        <f>IF($A4="","",IF(COUNTIF($A$4:$A$103,$A4)&gt;1,"SKU duplicado",IF(OR($D4="",NOT(ISNUMBER($D4)),$D4&lt;=0),"Custo inválido",IF(OR($E4="",NOT(ISNUMBER($E4)),$E4&lt;0,$E4&gt;=1),"Margem mínima inválida",IF($H4="","Piso ausente",IF(OR($I4="",NOT(ISNUMBER($I4)),$I4&lt;$H4),"Teto abaixo do piso ou ausente",IF(OR($J4="",NOT(ISNUMBER($J4)),$J4&lt;=0),"Estoque-alvo inválido",IF($K4&lt;&gt;"Ativo","Produto inativo","OK"))))))))</f>
        <v/>
      </c>
    </row>
    <row r="5">
      <c r="A5" s="16" t="inlineStr">
        <is>
          <t>FIC-002</t>
        </is>
      </c>
      <c r="B5" s="16" t="inlineStr">
        <is>
          <t>Garrafa Térmica Brisa 750 ml</t>
        </is>
      </c>
      <c r="C5" s="16" t="inlineStr">
        <is>
          <t>Mercado Vitrine Azul — fictício</t>
        </is>
      </c>
      <c r="D5" s="17" t="n">
        <v>32</v>
      </c>
      <c r="E5" s="18" t="n">
        <v>0.25</v>
      </c>
      <c r="F5" s="17" t="n">
        <v>45</v>
      </c>
      <c r="G5" s="19">
        <f>IF(OR($A5="",$D5="",$E5="",$D5&lt;=0,$E5&lt;0,$E5&gt;=1),"",IFERROR(ROUND($D5/(1-$E5),2),""))</f>
        <v/>
      </c>
      <c r="H5" s="19">
        <f>IF($A5="","",IF(AND($F5="",$G5=""),"",ROUND(MAX(IF($F5="",0,$F5),IF($G5="",0,$G5)),2)))</f>
        <v/>
      </c>
      <c r="I5" s="17" t="n">
        <v>89.90000000000001</v>
      </c>
      <c r="J5" s="20" t="n">
        <v>180</v>
      </c>
      <c r="K5" s="16" t="inlineStr">
        <is>
          <t>Ativo</t>
        </is>
      </c>
      <c r="L5" s="21">
        <f>IF($A5="","",IF(COUNTIF($A$4:$A$103,$A5)&gt;1,"SKU duplicado",IF(OR($D5="",NOT(ISNUMBER($D5)),$D5&lt;=0),"Custo inválido",IF(OR($E5="",NOT(ISNUMBER($E5)),$E5&lt;0,$E5&gt;=1),"Margem mínima inválida",IF($H5="","Piso ausente",IF(OR($I5="",NOT(ISNUMBER($I5)),$I5&lt;$H5),"Teto abaixo do piso ou ausente",IF(OR($J5="",NOT(ISNUMBER($J5)),$J5&lt;=0),"Estoque-alvo inválido",IF($K5&lt;&gt;"Ativo","Produto inativo","OK"))))))))</f>
        <v/>
      </c>
    </row>
    <row r="6">
      <c r="A6" s="16" t="inlineStr">
        <is>
          <t>FIC-003</t>
        </is>
      </c>
      <c r="B6" s="16" t="inlineStr">
        <is>
          <t>Organizador Modular Cedro</t>
        </is>
      </c>
      <c r="C6" s="16" t="inlineStr">
        <is>
          <t>Loja Nuvem Clara — fictícia</t>
        </is>
      </c>
      <c r="D6" s="17" t="n">
        <v>55</v>
      </c>
      <c r="E6" s="18" t="n">
        <v>0.35</v>
      </c>
      <c r="F6" s="17" t="n">
        <v>85</v>
      </c>
      <c r="G6" s="19">
        <f>IF(OR($A6="",$D6="",$E6="",$D6&lt;=0,$E6&lt;0,$E6&gt;=1),"",IFERROR(ROUND($D6/(1-$E6),2),""))</f>
        <v/>
      </c>
      <c r="H6" s="19">
        <f>IF($A6="","",IF(AND($F6="",$G6=""),"",ROUND(MAX(IF($F6="",0,$F6),IF($G6="",0,$G6)),2)))</f>
        <v/>
      </c>
      <c r="I6" s="17" t="n">
        <v>149.9</v>
      </c>
      <c r="J6" s="20" t="n">
        <v>80</v>
      </c>
      <c r="K6" s="16" t="inlineStr">
        <is>
          <t>Ativo</t>
        </is>
      </c>
      <c r="L6" s="21">
        <f>IF($A6="","",IF(COUNTIF($A$4:$A$103,$A6)&gt;1,"SKU duplicado",IF(OR($D6="",NOT(ISNUMBER($D6)),$D6&lt;=0),"Custo inválido",IF(OR($E6="",NOT(ISNUMBER($E6)),$E6&lt;0,$E6&gt;=1),"Margem mínima inválida",IF($H6="","Piso ausente",IF(OR($I6="",NOT(ISNUMBER($I6)),$I6&lt;$H6),"Teto abaixo do piso ou ausente",IF(OR($J6="",NOT(ISNUMBER($J6)),$J6&lt;=0),"Estoque-alvo inválido",IF($K6&lt;&gt;"Ativo","Produto inativo","OK"))))))))</f>
        <v/>
      </c>
    </row>
    <row r="7">
      <c r="A7" s="16" t="inlineStr">
        <is>
          <t>FIC-004</t>
        </is>
      </c>
      <c r="B7" s="16" t="inlineStr">
        <is>
          <t>Fone Neblina Lite</t>
        </is>
      </c>
      <c r="C7" s="16" t="inlineStr">
        <is>
          <t>Shopping Estrela Beta — fictício</t>
        </is>
      </c>
      <c r="D7" s="17" t="n">
        <v>70</v>
      </c>
      <c r="E7" s="18" t="n">
        <v>0.2</v>
      </c>
      <c r="F7" s="17" t="n">
        <v>90</v>
      </c>
      <c r="G7" s="19">
        <f>IF(OR($A7="",$D7="",$E7="",$D7&lt;=0,$E7&lt;0,$E7&gt;=1),"",IFERROR(ROUND($D7/(1-$E7),2),""))</f>
        <v/>
      </c>
      <c r="H7" s="19">
        <f>IF($A7="","",IF(AND($F7="",$G7=""),"",ROUND(MAX(IF($F7="",0,$F7),IF($G7="",0,$G7)),2)))</f>
        <v/>
      </c>
      <c r="I7" s="17" t="n">
        <v>159.9</v>
      </c>
      <c r="J7" s="20" t="n">
        <v>150</v>
      </c>
      <c r="K7" s="16" t="inlineStr">
        <is>
          <t>Ativo</t>
        </is>
      </c>
      <c r="L7" s="21">
        <f>IF($A7="","",IF(COUNTIF($A$4:$A$103,$A7)&gt;1,"SKU duplicado",IF(OR($D7="",NOT(ISNUMBER($D7)),$D7&lt;=0),"Custo inválido",IF(OR($E7="",NOT(ISNUMBER($E7)),$E7&lt;0,$E7&gt;=1),"Margem mínima inválida",IF($H7="","Piso ausente",IF(OR($I7="",NOT(ISNUMBER($I7)),$I7&lt;$H7),"Teto abaixo do piso ou ausente",IF(OR($J7="",NOT(ISNUMBER($J7)),$J7&lt;=0),"Estoque-alvo inválido",IF($K7&lt;&gt;"Ativo","Produto inativo","OK"))))))))</f>
        <v/>
      </c>
    </row>
    <row r="8">
      <c r="A8" s="16" t="inlineStr">
        <is>
          <t>FIC-005</t>
        </is>
      </c>
      <c r="B8" s="16" t="inlineStr">
        <is>
          <t>Kit Caderno Horizonte</t>
        </is>
      </c>
      <c r="C8" s="16" t="inlineStr">
        <is>
          <t>Mercado Vitrine Azul — fictício</t>
        </is>
      </c>
      <c r="D8" s="17" t="n">
        <v>18</v>
      </c>
      <c r="E8" s="18" t="n">
        <v>0.4</v>
      </c>
      <c r="F8" s="17" t="n">
        <v>32</v>
      </c>
      <c r="G8" s="19">
        <f>IF(OR($A8="",$D8="",$E8="",$D8&lt;=0,$E8&lt;0,$E8&gt;=1),"",IFERROR(ROUND($D8/(1-$E8),2),""))</f>
        <v/>
      </c>
      <c r="H8" s="19">
        <f>IF($A8="","",IF(AND($F8="",$G8=""),"",ROUND(MAX(IF($F8="",0,$F8),IF($G8="",0,$G8)),2)))</f>
        <v/>
      </c>
      <c r="I8" s="17" t="n">
        <v>69.90000000000001</v>
      </c>
      <c r="J8" s="20" t="n">
        <v>200</v>
      </c>
      <c r="K8" s="16" t="inlineStr">
        <is>
          <t>Ativo</t>
        </is>
      </c>
      <c r="L8" s="21">
        <f>IF($A8="","",IF(COUNTIF($A$4:$A$103,$A8)&gt;1,"SKU duplicado",IF(OR($D8="",NOT(ISNUMBER($D8)),$D8&lt;=0),"Custo inválido",IF(OR($E8="",NOT(ISNUMBER($E8)),$E8&lt;0,$E8&gt;=1),"Margem mínima inválida",IF($H8="","Piso ausente",IF(OR($I8="",NOT(ISNUMBER($I8)),$I8&lt;$H8),"Teto abaixo do piso ou ausente",IF(OR($J8="",NOT(ISNUMBER($J8)),$J8&lt;=0),"Estoque-alvo inválido",IF($K8&lt;&gt;"Ativo","Produto inativo","OK"))))))))</f>
        <v/>
      </c>
    </row>
    <row r="9">
      <c r="A9" s="16" t="inlineStr">
        <is>
          <t>FIC-006</t>
        </is>
      </c>
      <c r="B9" s="16" t="inlineStr">
        <is>
          <t>Suporte Prisma Desk</t>
        </is>
      </c>
      <c r="C9" s="16" t="inlineStr">
        <is>
          <t>Loja Nuvem Clara — fictícia</t>
        </is>
      </c>
      <c r="D9" s="17" t="n">
        <v>40</v>
      </c>
      <c r="E9" s="18" t="n">
        <v>0.3</v>
      </c>
      <c r="F9" s="17" t="n">
        <v>58</v>
      </c>
      <c r="G9" s="19">
        <f>IF(OR($A9="",$D9="",$E9="",$D9&lt;=0,$E9&lt;0,$E9&gt;=1),"",IFERROR(ROUND($D9/(1-$E9),2),""))</f>
        <v/>
      </c>
      <c r="H9" s="19">
        <f>IF($A9="","",IF(AND($F9="",$G9=""),"",ROUND(MAX(IF($F9="",0,$F9),IF($G9="",0,$G9)),2)))</f>
        <v/>
      </c>
      <c r="I9" s="17" t="n">
        <v>109.9</v>
      </c>
      <c r="J9" s="20" t="n">
        <v>120</v>
      </c>
      <c r="K9" s="16" t="inlineStr">
        <is>
          <t>Ativo</t>
        </is>
      </c>
      <c r="L9" s="21">
        <f>IF($A9="","",IF(COUNTIF($A$4:$A$103,$A9)&gt;1,"SKU duplicado",IF(OR($D9="",NOT(ISNUMBER($D9)),$D9&lt;=0),"Custo inválido",IF(OR($E9="",NOT(ISNUMBER($E9)),$E9&lt;0,$E9&gt;=1),"Margem mínima inválida",IF($H9="","Piso ausente",IF(OR($I9="",NOT(ISNUMBER($I9)),$I9&lt;$H9),"Teto abaixo do piso ou ausente",IF(OR($J9="",NOT(ISNUMBER($J9)),$J9&lt;=0),"Estoque-alvo inválido",IF($K9&lt;&gt;"Ativo","Produto inativo","OK"))))))))</f>
        <v/>
      </c>
    </row>
    <row r="10">
      <c r="A10" s="16" t="n"/>
      <c r="B10" s="16" t="n"/>
      <c r="C10" s="16" t="n"/>
      <c r="D10" s="17" t="n"/>
      <c r="E10" s="18" t="n"/>
      <c r="F10" s="17" t="n"/>
      <c r="G10" s="19">
        <f>IF(OR($A10="",$D10="",$E10="",$D10&lt;=0,$E10&lt;0,$E10&gt;=1),"",IFERROR(ROUND($D10/(1-$E10),2),""))</f>
        <v/>
      </c>
      <c r="H10" s="19">
        <f>IF($A10="","",IF(AND($F10="",$G10=""),"",ROUND(MAX(IF($F10="",0,$F10),IF($G10="",0,$G10)),2)))</f>
        <v/>
      </c>
      <c r="I10" s="17" t="n"/>
      <c r="J10" s="20" t="n"/>
      <c r="K10" s="16" t="n"/>
      <c r="L10" s="21">
        <f>IF($A10="","",IF(COUNTIF($A$4:$A$103,$A10)&gt;1,"SKU duplicado",IF(OR($D10="",NOT(ISNUMBER($D10)),$D10&lt;=0),"Custo inválido",IF(OR($E10="",NOT(ISNUMBER($E10)),$E10&lt;0,$E10&gt;=1),"Margem mínima inválida",IF($H10="","Piso ausente",IF(OR($I10="",NOT(ISNUMBER($I10)),$I10&lt;$H10),"Teto abaixo do piso ou ausente",IF(OR($J10="",NOT(ISNUMBER($J10)),$J10&lt;=0),"Estoque-alvo inválido",IF($K10&lt;&gt;"Ativo","Produto inativo","OK"))))))))</f>
        <v/>
      </c>
    </row>
    <row r="11">
      <c r="A11" s="16" t="n"/>
      <c r="B11" s="16" t="n"/>
      <c r="C11" s="16" t="n"/>
      <c r="D11" s="17" t="n"/>
      <c r="E11" s="18" t="n"/>
      <c r="F11" s="17" t="n"/>
      <c r="G11" s="19">
        <f>IF(OR($A11="",$D11="",$E11="",$D11&lt;=0,$E11&lt;0,$E11&gt;=1),"",IFERROR(ROUND($D11/(1-$E11),2),""))</f>
        <v/>
      </c>
      <c r="H11" s="19">
        <f>IF($A11="","",IF(AND($F11="",$G11=""),"",ROUND(MAX(IF($F11="",0,$F11),IF($G11="",0,$G11)),2)))</f>
        <v/>
      </c>
      <c r="I11" s="17" t="n"/>
      <c r="J11" s="20" t="n"/>
      <c r="K11" s="16" t="n"/>
      <c r="L11" s="21">
        <f>IF($A11="","",IF(COUNTIF($A$4:$A$103,$A11)&gt;1,"SKU duplicado",IF(OR($D11="",NOT(ISNUMBER($D11)),$D11&lt;=0),"Custo inválido",IF(OR($E11="",NOT(ISNUMBER($E11)),$E11&lt;0,$E11&gt;=1),"Margem mínima inválida",IF($H11="","Piso ausente",IF(OR($I11="",NOT(ISNUMBER($I11)),$I11&lt;$H11),"Teto abaixo do piso ou ausente",IF(OR($J11="",NOT(ISNUMBER($J11)),$J11&lt;=0),"Estoque-alvo inválido",IF($K11&lt;&gt;"Ativo","Produto inativo","OK"))))))))</f>
        <v/>
      </c>
    </row>
    <row r="12">
      <c r="A12" s="16" t="n"/>
      <c r="B12" s="16" t="n"/>
      <c r="C12" s="16" t="n"/>
      <c r="D12" s="17" t="n"/>
      <c r="E12" s="18" t="n"/>
      <c r="F12" s="17" t="n"/>
      <c r="G12" s="19">
        <f>IF(OR($A12="",$D12="",$E12="",$D12&lt;=0,$E12&lt;0,$E12&gt;=1),"",IFERROR(ROUND($D12/(1-$E12),2),""))</f>
        <v/>
      </c>
      <c r="H12" s="19">
        <f>IF($A12="","",IF(AND($F12="",$G12=""),"",ROUND(MAX(IF($F12="",0,$F12),IF($G12="",0,$G12)),2)))</f>
        <v/>
      </c>
      <c r="I12" s="17" t="n"/>
      <c r="J12" s="20" t="n"/>
      <c r="K12" s="16" t="n"/>
      <c r="L12" s="21">
        <f>IF($A12="","",IF(COUNTIF($A$4:$A$103,$A12)&gt;1,"SKU duplicado",IF(OR($D12="",NOT(ISNUMBER($D12)),$D12&lt;=0),"Custo inválido",IF(OR($E12="",NOT(ISNUMBER($E12)),$E12&lt;0,$E12&gt;=1),"Margem mínima inválida",IF($H12="","Piso ausente",IF(OR($I12="",NOT(ISNUMBER($I12)),$I12&lt;$H12),"Teto abaixo do piso ou ausente",IF(OR($J12="",NOT(ISNUMBER($J12)),$J12&lt;=0),"Estoque-alvo inválido",IF($K12&lt;&gt;"Ativo","Produto inativo","OK"))))))))</f>
        <v/>
      </c>
    </row>
    <row r="13">
      <c r="A13" s="16" t="n"/>
      <c r="B13" s="16" t="n"/>
      <c r="C13" s="16" t="n"/>
      <c r="D13" s="17" t="n"/>
      <c r="E13" s="18" t="n"/>
      <c r="F13" s="17" t="n"/>
      <c r="G13" s="19">
        <f>IF(OR($A13="",$D13="",$E13="",$D13&lt;=0,$E13&lt;0,$E13&gt;=1),"",IFERROR(ROUND($D13/(1-$E13),2),""))</f>
        <v/>
      </c>
      <c r="H13" s="19">
        <f>IF($A13="","",IF(AND($F13="",$G13=""),"",ROUND(MAX(IF($F13="",0,$F13),IF($G13="",0,$G13)),2)))</f>
        <v/>
      </c>
      <c r="I13" s="17" t="n"/>
      <c r="J13" s="20" t="n"/>
      <c r="K13" s="16" t="n"/>
      <c r="L13" s="21">
        <f>IF($A13="","",IF(COUNTIF($A$4:$A$103,$A13)&gt;1,"SKU duplicado",IF(OR($D13="",NOT(ISNUMBER($D13)),$D13&lt;=0),"Custo inválido",IF(OR($E13="",NOT(ISNUMBER($E13)),$E13&lt;0,$E13&gt;=1),"Margem mínima inválida",IF($H13="","Piso ausente",IF(OR($I13="",NOT(ISNUMBER($I13)),$I13&lt;$H13),"Teto abaixo do piso ou ausente",IF(OR($J13="",NOT(ISNUMBER($J13)),$J13&lt;=0),"Estoque-alvo inválido",IF($K13&lt;&gt;"Ativo","Produto inativo","OK"))))))))</f>
        <v/>
      </c>
    </row>
    <row r="14">
      <c r="A14" s="16" t="n"/>
      <c r="B14" s="16" t="n"/>
      <c r="C14" s="16" t="n"/>
      <c r="D14" s="17" t="n"/>
      <c r="E14" s="18" t="n"/>
      <c r="F14" s="17" t="n"/>
      <c r="G14" s="19">
        <f>IF(OR($A14="",$D14="",$E14="",$D14&lt;=0,$E14&lt;0,$E14&gt;=1),"",IFERROR(ROUND($D14/(1-$E14),2),""))</f>
        <v/>
      </c>
      <c r="H14" s="19">
        <f>IF($A14="","",IF(AND($F14="",$G14=""),"",ROUND(MAX(IF($F14="",0,$F14),IF($G14="",0,$G14)),2)))</f>
        <v/>
      </c>
      <c r="I14" s="17" t="n"/>
      <c r="J14" s="20" t="n"/>
      <c r="K14" s="16" t="n"/>
      <c r="L14" s="21">
        <f>IF($A14="","",IF(COUNTIF($A$4:$A$103,$A14)&gt;1,"SKU duplicado",IF(OR($D14="",NOT(ISNUMBER($D14)),$D14&lt;=0),"Custo inválido",IF(OR($E14="",NOT(ISNUMBER($E14)),$E14&lt;0,$E14&gt;=1),"Margem mínima inválida",IF($H14="","Piso ausente",IF(OR($I14="",NOT(ISNUMBER($I14)),$I14&lt;$H14),"Teto abaixo do piso ou ausente",IF(OR($J14="",NOT(ISNUMBER($J14)),$J14&lt;=0),"Estoque-alvo inválido",IF($K14&lt;&gt;"Ativo","Produto inativo","OK"))))))))</f>
        <v/>
      </c>
    </row>
    <row r="15">
      <c r="A15" s="16" t="n"/>
      <c r="B15" s="16" t="n"/>
      <c r="C15" s="16" t="n"/>
      <c r="D15" s="17" t="n"/>
      <c r="E15" s="18" t="n"/>
      <c r="F15" s="17" t="n"/>
      <c r="G15" s="19">
        <f>IF(OR($A15="",$D15="",$E15="",$D15&lt;=0,$E15&lt;0,$E15&gt;=1),"",IFERROR(ROUND($D15/(1-$E15),2),""))</f>
        <v/>
      </c>
      <c r="H15" s="19">
        <f>IF($A15="","",IF(AND($F15="",$G15=""),"",ROUND(MAX(IF($F15="",0,$F15),IF($G15="",0,$G15)),2)))</f>
        <v/>
      </c>
      <c r="I15" s="17" t="n"/>
      <c r="J15" s="20" t="n"/>
      <c r="K15" s="16" t="n"/>
      <c r="L15" s="21">
        <f>IF($A15="","",IF(COUNTIF($A$4:$A$103,$A15)&gt;1,"SKU duplicado",IF(OR($D15="",NOT(ISNUMBER($D15)),$D15&lt;=0),"Custo inválido",IF(OR($E15="",NOT(ISNUMBER($E15)),$E15&lt;0,$E15&gt;=1),"Margem mínima inválida",IF($H15="","Piso ausente",IF(OR($I15="",NOT(ISNUMBER($I15)),$I15&lt;$H15),"Teto abaixo do piso ou ausente",IF(OR($J15="",NOT(ISNUMBER($J15)),$J15&lt;=0),"Estoque-alvo inválido",IF($K15&lt;&gt;"Ativo","Produto inativo","OK"))))))))</f>
        <v/>
      </c>
    </row>
    <row r="16">
      <c r="A16" s="16" t="n"/>
      <c r="B16" s="16" t="n"/>
      <c r="C16" s="16" t="n"/>
      <c r="D16" s="17" t="n"/>
      <c r="E16" s="18" t="n"/>
      <c r="F16" s="17" t="n"/>
      <c r="G16" s="19">
        <f>IF(OR($A16="",$D16="",$E16="",$D16&lt;=0,$E16&lt;0,$E16&gt;=1),"",IFERROR(ROUND($D16/(1-$E16),2),""))</f>
        <v/>
      </c>
      <c r="H16" s="19">
        <f>IF($A16="","",IF(AND($F16="",$G16=""),"",ROUND(MAX(IF($F16="",0,$F16),IF($G16="",0,$G16)),2)))</f>
        <v/>
      </c>
      <c r="I16" s="17" t="n"/>
      <c r="J16" s="20" t="n"/>
      <c r="K16" s="16" t="n"/>
      <c r="L16" s="21">
        <f>IF($A16="","",IF(COUNTIF($A$4:$A$103,$A16)&gt;1,"SKU duplicado",IF(OR($D16="",NOT(ISNUMBER($D16)),$D16&lt;=0),"Custo inválido",IF(OR($E16="",NOT(ISNUMBER($E16)),$E16&lt;0,$E16&gt;=1),"Margem mínima inválida",IF($H16="","Piso ausente",IF(OR($I16="",NOT(ISNUMBER($I16)),$I16&lt;$H16),"Teto abaixo do piso ou ausente",IF(OR($J16="",NOT(ISNUMBER($J16)),$J16&lt;=0),"Estoque-alvo inválido",IF($K16&lt;&gt;"Ativo","Produto inativo","OK"))))))))</f>
        <v/>
      </c>
    </row>
    <row r="17">
      <c r="A17" s="16" t="n"/>
      <c r="B17" s="16" t="n"/>
      <c r="C17" s="16" t="n"/>
      <c r="D17" s="17" t="n"/>
      <c r="E17" s="18" t="n"/>
      <c r="F17" s="17" t="n"/>
      <c r="G17" s="19">
        <f>IF(OR($A17="",$D17="",$E17="",$D17&lt;=0,$E17&lt;0,$E17&gt;=1),"",IFERROR(ROUND($D17/(1-$E17),2),""))</f>
        <v/>
      </c>
      <c r="H17" s="19">
        <f>IF($A17="","",IF(AND($F17="",$G17=""),"",ROUND(MAX(IF($F17="",0,$F17),IF($G17="",0,$G17)),2)))</f>
        <v/>
      </c>
      <c r="I17" s="17" t="n"/>
      <c r="J17" s="20" t="n"/>
      <c r="K17" s="16" t="n"/>
      <c r="L17" s="21">
        <f>IF($A17="","",IF(COUNTIF($A$4:$A$103,$A17)&gt;1,"SKU duplicado",IF(OR($D17="",NOT(ISNUMBER($D17)),$D17&lt;=0),"Custo inválido",IF(OR($E17="",NOT(ISNUMBER($E17)),$E17&lt;0,$E17&gt;=1),"Margem mínima inválida",IF($H17="","Piso ausente",IF(OR($I17="",NOT(ISNUMBER($I17)),$I17&lt;$H17),"Teto abaixo do piso ou ausente",IF(OR($J17="",NOT(ISNUMBER($J17)),$J17&lt;=0),"Estoque-alvo inválido",IF($K17&lt;&gt;"Ativo","Produto inativo","OK"))))))))</f>
        <v/>
      </c>
    </row>
    <row r="18">
      <c r="A18" s="16" t="n"/>
      <c r="B18" s="16" t="n"/>
      <c r="C18" s="16" t="n"/>
      <c r="D18" s="17" t="n"/>
      <c r="E18" s="18" t="n"/>
      <c r="F18" s="17" t="n"/>
      <c r="G18" s="19">
        <f>IF(OR($A18="",$D18="",$E18="",$D18&lt;=0,$E18&lt;0,$E18&gt;=1),"",IFERROR(ROUND($D18/(1-$E18),2),""))</f>
        <v/>
      </c>
      <c r="H18" s="19">
        <f>IF($A18="","",IF(AND($F18="",$G18=""),"",ROUND(MAX(IF($F18="",0,$F18),IF($G18="",0,$G18)),2)))</f>
        <v/>
      </c>
      <c r="I18" s="17" t="n"/>
      <c r="J18" s="20" t="n"/>
      <c r="K18" s="16" t="n"/>
      <c r="L18" s="21">
        <f>IF($A18="","",IF(COUNTIF($A$4:$A$103,$A18)&gt;1,"SKU duplicado",IF(OR($D18="",NOT(ISNUMBER($D18)),$D18&lt;=0),"Custo inválido",IF(OR($E18="",NOT(ISNUMBER($E18)),$E18&lt;0,$E18&gt;=1),"Margem mínima inválida",IF($H18="","Piso ausente",IF(OR($I18="",NOT(ISNUMBER($I18)),$I18&lt;$H18),"Teto abaixo do piso ou ausente",IF(OR($J18="",NOT(ISNUMBER($J18)),$J18&lt;=0),"Estoque-alvo inválido",IF($K18&lt;&gt;"Ativo","Produto inativo","OK"))))))))</f>
        <v/>
      </c>
    </row>
    <row r="19">
      <c r="A19" s="16" t="n"/>
      <c r="B19" s="16" t="n"/>
      <c r="C19" s="16" t="n"/>
      <c r="D19" s="17" t="n"/>
      <c r="E19" s="18" t="n"/>
      <c r="F19" s="17" t="n"/>
      <c r="G19" s="19">
        <f>IF(OR($A19="",$D19="",$E19="",$D19&lt;=0,$E19&lt;0,$E19&gt;=1),"",IFERROR(ROUND($D19/(1-$E19),2),""))</f>
        <v/>
      </c>
      <c r="H19" s="19">
        <f>IF($A19="","",IF(AND($F19="",$G19=""),"",ROUND(MAX(IF($F19="",0,$F19),IF($G19="",0,$G19)),2)))</f>
        <v/>
      </c>
      <c r="I19" s="17" t="n"/>
      <c r="J19" s="20" t="n"/>
      <c r="K19" s="16" t="n"/>
      <c r="L19" s="21">
        <f>IF($A19="","",IF(COUNTIF($A$4:$A$103,$A19)&gt;1,"SKU duplicado",IF(OR($D19="",NOT(ISNUMBER($D19)),$D19&lt;=0),"Custo inválido",IF(OR($E19="",NOT(ISNUMBER($E19)),$E19&lt;0,$E19&gt;=1),"Margem mínima inválida",IF($H19="","Piso ausente",IF(OR($I19="",NOT(ISNUMBER($I19)),$I19&lt;$H19),"Teto abaixo do piso ou ausente",IF(OR($J19="",NOT(ISNUMBER($J19)),$J19&lt;=0),"Estoque-alvo inválido",IF($K19&lt;&gt;"Ativo","Produto inativo","OK"))))))))</f>
        <v/>
      </c>
    </row>
    <row r="20">
      <c r="A20" s="16" t="n"/>
      <c r="B20" s="16" t="n"/>
      <c r="C20" s="16" t="n"/>
      <c r="D20" s="17" t="n"/>
      <c r="E20" s="18" t="n"/>
      <c r="F20" s="17" t="n"/>
      <c r="G20" s="19">
        <f>IF(OR($A20="",$D20="",$E20="",$D20&lt;=0,$E20&lt;0,$E20&gt;=1),"",IFERROR(ROUND($D20/(1-$E20),2),""))</f>
        <v/>
      </c>
      <c r="H20" s="19">
        <f>IF($A20="","",IF(AND($F20="",$G20=""),"",ROUND(MAX(IF($F20="",0,$F20),IF($G20="",0,$G20)),2)))</f>
        <v/>
      </c>
      <c r="I20" s="17" t="n"/>
      <c r="J20" s="20" t="n"/>
      <c r="K20" s="16" t="n"/>
      <c r="L20" s="21">
        <f>IF($A20="","",IF(COUNTIF($A$4:$A$103,$A20)&gt;1,"SKU duplicado",IF(OR($D20="",NOT(ISNUMBER($D20)),$D20&lt;=0),"Custo inválido",IF(OR($E20="",NOT(ISNUMBER($E20)),$E20&lt;0,$E20&gt;=1),"Margem mínima inválida",IF($H20="","Piso ausente",IF(OR($I20="",NOT(ISNUMBER($I20)),$I20&lt;$H20),"Teto abaixo do piso ou ausente",IF(OR($J20="",NOT(ISNUMBER($J20)),$J20&lt;=0),"Estoque-alvo inválido",IF($K20&lt;&gt;"Ativo","Produto inativo","OK"))))))))</f>
        <v/>
      </c>
    </row>
    <row r="21">
      <c r="A21" s="16" t="n"/>
      <c r="B21" s="16" t="n"/>
      <c r="C21" s="16" t="n"/>
      <c r="D21" s="17" t="n"/>
      <c r="E21" s="18" t="n"/>
      <c r="F21" s="17" t="n"/>
      <c r="G21" s="19">
        <f>IF(OR($A21="",$D21="",$E21="",$D21&lt;=0,$E21&lt;0,$E21&gt;=1),"",IFERROR(ROUND($D21/(1-$E21),2),""))</f>
        <v/>
      </c>
      <c r="H21" s="19">
        <f>IF($A21="","",IF(AND($F21="",$G21=""),"",ROUND(MAX(IF($F21="",0,$F21),IF($G21="",0,$G21)),2)))</f>
        <v/>
      </c>
      <c r="I21" s="17" t="n"/>
      <c r="J21" s="20" t="n"/>
      <c r="K21" s="16" t="n"/>
      <c r="L21" s="21">
        <f>IF($A21="","",IF(COUNTIF($A$4:$A$103,$A21)&gt;1,"SKU duplicado",IF(OR($D21="",NOT(ISNUMBER($D21)),$D21&lt;=0),"Custo inválido",IF(OR($E21="",NOT(ISNUMBER($E21)),$E21&lt;0,$E21&gt;=1),"Margem mínima inválida",IF($H21="","Piso ausente",IF(OR($I21="",NOT(ISNUMBER($I21)),$I21&lt;$H21),"Teto abaixo do piso ou ausente",IF(OR($J21="",NOT(ISNUMBER($J21)),$J21&lt;=0),"Estoque-alvo inválido",IF($K21&lt;&gt;"Ativo","Produto inativo","OK"))))))))</f>
        <v/>
      </c>
    </row>
    <row r="22">
      <c r="A22" s="16" t="n"/>
      <c r="B22" s="16" t="n"/>
      <c r="C22" s="16" t="n"/>
      <c r="D22" s="17" t="n"/>
      <c r="E22" s="18" t="n"/>
      <c r="F22" s="17" t="n"/>
      <c r="G22" s="19">
        <f>IF(OR($A22="",$D22="",$E22="",$D22&lt;=0,$E22&lt;0,$E22&gt;=1),"",IFERROR(ROUND($D22/(1-$E22),2),""))</f>
        <v/>
      </c>
      <c r="H22" s="19">
        <f>IF($A22="","",IF(AND($F22="",$G22=""),"",ROUND(MAX(IF($F22="",0,$F22),IF($G22="",0,$G22)),2)))</f>
        <v/>
      </c>
      <c r="I22" s="17" t="n"/>
      <c r="J22" s="20" t="n"/>
      <c r="K22" s="16" t="n"/>
      <c r="L22" s="21">
        <f>IF($A22="","",IF(COUNTIF($A$4:$A$103,$A22)&gt;1,"SKU duplicado",IF(OR($D22="",NOT(ISNUMBER($D22)),$D22&lt;=0),"Custo inválido",IF(OR($E22="",NOT(ISNUMBER($E22)),$E22&lt;0,$E22&gt;=1),"Margem mínima inválida",IF($H22="","Piso ausente",IF(OR($I22="",NOT(ISNUMBER($I22)),$I22&lt;$H22),"Teto abaixo do piso ou ausente",IF(OR($J22="",NOT(ISNUMBER($J22)),$J22&lt;=0),"Estoque-alvo inválido",IF($K22&lt;&gt;"Ativo","Produto inativo","OK"))))))))</f>
        <v/>
      </c>
    </row>
    <row r="23">
      <c r="A23" s="16" t="n"/>
      <c r="B23" s="16" t="n"/>
      <c r="C23" s="16" t="n"/>
      <c r="D23" s="17" t="n"/>
      <c r="E23" s="18" t="n"/>
      <c r="F23" s="17" t="n"/>
      <c r="G23" s="19">
        <f>IF(OR($A23="",$D23="",$E23="",$D23&lt;=0,$E23&lt;0,$E23&gt;=1),"",IFERROR(ROUND($D23/(1-$E23),2),""))</f>
        <v/>
      </c>
      <c r="H23" s="19">
        <f>IF($A23="","",IF(AND($F23="",$G23=""),"",ROUND(MAX(IF($F23="",0,$F23),IF($G23="",0,$G23)),2)))</f>
        <v/>
      </c>
      <c r="I23" s="17" t="n"/>
      <c r="J23" s="20" t="n"/>
      <c r="K23" s="16" t="n"/>
      <c r="L23" s="21">
        <f>IF($A23="","",IF(COUNTIF($A$4:$A$103,$A23)&gt;1,"SKU duplicado",IF(OR($D23="",NOT(ISNUMBER($D23)),$D23&lt;=0),"Custo inválido",IF(OR($E23="",NOT(ISNUMBER($E23)),$E23&lt;0,$E23&gt;=1),"Margem mínima inválida",IF($H23="","Piso ausente",IF(OR($I23="",NOT(ISNUMBER($I23)),$I23&lt;$H23),"Teto abaixo do piso ou ausente",IF(OR($J23="",NOT(ISNUMBER($J23)),$J23&lt;=0),"Estoque-alvo inválido",IF($K23&lt;&gt;"Ativo","Produto inativo","OK"))))))))</f>
        <v/>
      </c>
    </row>
    <row r="24">
      <c r="A24" s="16" t="n"/>
      <c r="B24" s="16" t="n"/>
      <c r="C24" s="16" t="n"/>
      <c r="D24" s="17" t="n"/>
      <c r="E24" s="18" t="n"/>
      <c r="F24" s="17" t="n"/>
      <c r="G24" s="19">
        <f>IF(OR($A24="",$D24="",$E24="",$D24&lt;=0,$E24&lt;0,$E24&gt;=1),"",IFERROR(ROUND($D24/(1-$E24),2),""))</f>
        <v/>
      </c>
      <c r="H24" s="19">
        <f>IF($A24="","",IF(AND($F24="",$G24=""),"",ROUND(MAX(IF($F24="",0,$F24),IF($G24="",0,$G24)),2)))</f>
        <v/>
      </c>
      <c r="I24" s="17" t="n"/>
      <c r="J24" s="20" t="n"/>
      <c r="K24" s="16" t="n"/>
      <c r="L24" s="21">
        <f>IF($A24="","",IF(COUNTIF($A$4:$A$103,$A24)&gt;1,"SKU duplicado",IF(OR($D24="",NOT(ISNUMBER($D24)),$D24&lt;=0),"Custo inválido",IF(OR($E24="",NOT(ISNUMBER($E24)),$E24&lt;0,$E24&gt;=1),"Margem mínima inválida",IF($H24="","Piso ausente",IF(OR($I24="",NOT(ISNUMBER($I24)),$I24&lt;$H24),"Teto abaixo do piso ou ausente",IF(OR($J24="",NOT(ISNUMBER($J24)),$J24&lt;=0),"Estoque-alvo inválido",IF($K24&lt;&gt;"Ativo","Produto inativo","OK"))))))))</f>
        <v/>
      </c>
    </row>
    <row r="25">
      <c r="A25" s="16" t="n"/>
      <c r="B25" s="16" t="n"/>
      <c r="C25" s="16" t="n"/>
      <c r="D25" s="17" t="n"/>
      <c r="E25" s="18" t="n"/>
      <c r="F25" s="17" t="n"/>
      <c r="G25" s="19">
        <f>IF(OR($A25="",$D25="",$E25="",$D25&lt;=0,$E25&lt;0,$E25&gt;=1),"",IFERROR(ROUND($D25/(1-$E25),2),""))</f>
        <v/>
      </c>
      <c r="H25" s="19">
        <f>IF($A25="","",IF(AND($F25="",$G25=""),"",ROUND(MAX(IF($F25="",0,$F25),IF($G25="",0,$G25)),2)))</f>
        <v/>
      </c>
      <c r="I25" s="17" t="n"/>
      <c r="J25" s="20" t="n"/>
      <c r="K25" s="16" t="n"/>
      <c r="L25" s="21">
        <f>IF($A25="","",IF(COUNTIF($A$4:$A$103,$A25)&gt;1,"SKU duplicado",IF(OR($D25="",NOT(ISNUMBER($D25)),$D25&lt;=0),"Custo inválido",IF(OR($E25="",NOT(ISNUMBER($E25)),$E25&lt;0,$E25&gt;=1),"Margem mínima inválida",IF($H25="","Piso ausente",IF(OR($I25="",NOT(ISNUMBER($I25)),$I25&lt;$H25),"Teto abaixo do piso ou ausente",IF(OR($J25="",NOT(ISNUMBER($J25)),$J25&lt;=0),"Estoque-alvo inválido",IF($K25&lt;&gt;"Ativo","Produto inativo","OK"))))))))</f>
        <v/>
      </c>
    </row>
    <row r="26">
      <c r="A26" s="16" t="n"/>
      <c r="B26" s="16" t="n"/>
      <c r="C26" s="16" t="n"/>
      <c r="D26" s="17" t="n"/>
      <c r="E26" s="18" t="n"/>
      <c r="F26" s="17" t="n"/>
      <c r="G26" s="19">
        <f>IF(OR($A26="",$D26="",$E26="",$D26&lt;=0,$E26&lt;0,$E26&gt;=1),"",IFERROR(ROUND($D26/(1-$E26),2),""))</f>
        <v/>
      </c>
      <c r="H26" s="19">
        <f>IF($A26="","",IF(AND($F26="",$G26=""),"",ROUND(MAX(IF($F26="",0,$F26),IF($G26="",0,$G26)),2)))</f>
        <v/>
      </c>
      <c r="I26" s="17" t="n"/>
      <c r="J26" s="20" t="n"/>
      <c r="K26" s="16" t="n"/>
      <c r="L26" s="21">
        <f>IF($A26="","",IF(COUNTIF($A$4:$A$103,$A26)&gt;1,"SKU duplicado",IF(OR($D26="",NOT(ISNUMBER($D26)),$D26&lt;=0),"Custo inválido",IF(OR($E26="",NOT(ISNUMBER($E26)),$E26&lt;0,$E26&gt;=1),"Margem mínima inválida",IF($H26="","Piso ausente",IF(OR($I26="",NOT(ISNUMBER($I26)),$I26&lt;$H26),"Teto abaixo do piso ou ausente",IF(OR($J26="",NOT(ISNUMBER($J26)),$J26&lt;=0),"Estoque-alvo inválido",IF($K26&lt;&gt;"Ativo","Produto inativo","OK"))))))))</f>
        <v/>
      </c>
    </row>
    <row r="27">
      <c r="A27" s="16" t="n"/>
      <c r="B27" s="16" t="n"/>
      <c r="C27" s="16" t="n"/>
      <c r="D27" s="17" t="n"/>
      <c r="E27" s="18" t="n"/>
      <c r="F27" s="17" t="n"/>
      <c r="G27" s="19">
        <f>IF(OR($A27="",$D27="",$E27="",$D27&lt;=0,$E27&lt;0,$E27&gt;=1),"",IFERROR(ROUND($D27/(1-$E27),2),""))</f>
        <v/>
      </c>
      <c r="H27" s="19">
        <f>IF($A27="","",IF(AND($F27="",$G27=""),"",ROUND(MAX(IF($F27="",0,$F27),IF($G27="",0,$G27)),2)))</f>
        <v/>
      </c>
      <c r="I27" s="17" t="n"/>
      <c r="J27" s="20" t="n"/>
      <c r="K27" s="16" t="n"/>
      <c r="L27" s="21">
        <f>IF($A27="","",IF(COUNTIF($A$4:$A$103,$A27)&gt;1,"SKU duplicado",IF(OR($D27="",NOT(ISNUMBER($D27)),$D27&lt;=0),"Custo inválido",IF(OR($E27="",NOT(ISNUMBER($E27)),$E27&lt;0,$E27&gt;=1),"Margem mínima inválida",IF($H27="","Piso ausente",IF(OR($I27="",NOT(ISNUMBER($I27)),$I27&lt;$H27),"Teto abaixo do piso ou ausente",IF(OR($J27="",NOT(ISNUMBER($J27)),$J27&lt;=0),"Estoque-alvo inválido",IF($K27&lt;&gt;"Ativo","Produto inativo","OK"))))))))</f>
        <v/>
      </c>
    </row>
    <row r="28">
      <c r="A28" s="16" t="n"/>
      <c r="B28" s="16" t="n"/>
      <c r="C28" s="16" t="n"/>
      <c r="D28" s="17" t="n"/>
      <c r="E28" s="18" t="n"/>
      <c r="F28" s="17" t="n"/>
      <c r="G28" s="19">
        <f>IF(OR($A28="",$D28="",$E28="",$D28&lt;=0,$E28&lt;0,$E28&gt;=1),"",IFERROR(ROUND($D28/(1-$E28),2),""))</f>
        <v/>
      </c>
      <c r="H28" s="19">
        <f>IF($A28="","",IF(AND($F28="",$G28=""),"",ROUND(MAX(IF($F28="",0,$F28),IF($G28="",0,$G28)),2)))</f>
        <v/>
      </c>
      <c r="I28" s="17" t="n"/>
      <c r="J28" s="20" t="n"/>
      <c r="K28" s="16" t="n"/>
      <c r="L28" s="21">
        <f>IF($A28="","",IF(COUNTIF($A$4:$A$103,$A28)&gt;1,"SKU duplicado",IF(OR($D28="",NOT(ISNUMBER($D28)),$D28&lt;=0),"Custo inválido",IF(OR($E28="",NOT(ISNUMBER($E28)),$E28&lt;0,$E28&gt;=1),"Margem mínima inválida",IF($H28="","Piso ausente",IF(OR($I28="",NOT(ISNUMBER($I28)),$I28&lt;$H28),"Teto abaixo do piso ou ausente",IF(OR($J28="",NOT(ISNUMBER($J28)),$J28&lt;=0),"Estoque-alvo inválido",IF($K28&lt;&gt;"Ativo","Produto inativo","OK"))))))))</f>
        <v/>
      </c>
    </row>
    <row r="29">
      <c r="A29" s="16" t="n"/>
      <c r="B29" s="16" t="n"/>
      <c r="C29" s="16" t="n"/>
      <c r="D29" s="17" t="n"/>
      <c r="E29" s="18" t="n"/>
      <c r="F29" s="17" t="n"/>
      <c r="G29" s="19">
        <f>IF(OR($A29="",$D29="",$E29="",$D29&lt;=0,$E29&lt;0,$E29&gt;=1),"",IFERROR(ROUND($D29/(1-$E29),2),""))</f>
        <v/>
      </c>
      <c r="H29" s="19">
        <f>IF($A29="","",IF(AND($F29="",$G29=""),"",ROUND(MAX(IF($F29="",0,$F29),IF($G29="",0,$G29)),2)))</f>
        <v/>
      </c>
      <c r="I29" s="17" t="n"/>
      <c r="J29" s="20" t="n"/>
      <c r="K29" s="16" t="n"/>
      <c r="L29" s="21">
        <f>IF($A29="","",IF(COUNTIF($A$4:$A$103,$A29)&gt;1,"SKU duplicado",IF(OR($D29="",NOT(ISNUMBER($D29)),$D29&lt;=0),"Custo inválido",IF(OR($E29="",NOT(ISNUMBER($E29)),$E29&lt;0,$E29&gt;=1),"Margem mínima inválida",IF($H29="","Piso ausente",IF(OR($I29="",NOT(ISNUMBER($I29)),$I29&lt;$H29),"Teto abaixo do piso ou ausente",IF(OR($J29="",NOT(ISNUMBER($J29)),$J29&lt;=0),"Estoque-alvo inválido",IF($K29&lt;&gt;"Ativo","Produto inativo","OK"))))))))</f>
        <v/>
      </c>
    </row>
    <row r="30">
      <c r="A30" s="16" t="n"/>
      <c r="B30" s="16" t="n"/>
      <c r="C30" s="16" t="n"/>
      <c r="D30" s="17" t="n"/>
      <c r="E30" s="18" t="n"/>
      <c r="F30" s="17" t="n"/>
      <c r="G30" s="19">
        <f>IF(OR($A30="",$D30="",$E30="",$D30&lt;=0,$E30&lt;0,$E30&gt;=1),"",IFERROR(ROUND($D30/(1-$E30),2),""))</f>
        <v/>
      </c>
      <c r="H30" s="19">
        <f>IF($A30="","",IF(AND($F30="",$G30=""),"",ROUND(MAX(IF($F30="",0,$F30),IF($G30="",0,$G30)),2)))</f>
        <v/>
      </c>
      <c r="I30" s="17" t="n"/>
      <c r="J30" s="20" t="n"/>
      <c r="K30" s="16" t="n"/>
      <c r="L30" s="21">
        <f>IF($A30="","",IF(COUNTIF($A$4:$A$103,$A30)&gt;1,"SKU duplicado",IF(OR($D30="",NOT(ISNUMBER($D30)),$D30&lt;=0),"Custo inválido",IF(OR($E30="",NOT(ISNUMBER($E30)),$E30&lt;0,$E30&gt;=1),"Margem mínima inválida",IF($H30="","Piso ausente",IF(OR($I30="",NOT(ISNUMBER($I30)),$I30&lt;$H30),"Teto abaixo do piso ou ausente",IF(OR($J30="",NOT(ISNUMBER($J30)),$J30&lt;=0),"Estoque-alvo inválido",IF($K30&lt;&gt;"Ativo","Produto inativo","OK"))))))))</f>
        <v/>
      </c>
    </row>
    <row r="31">
      <c r="A31" s="16" t="n"/>
      <c r="B31" s="16" t="n"/>
      <c r="C31" s="16" t="n"/>
      <c r="D31" s="17" t="n"/>
      <c r="E31" s="18" t="n"/>
      <c r="F31" s="17" t="n"/>
      <c r="G31" s="19">
        <f>IF(OR($A31="",$D31="",$E31="",$D31&lt;=0,$E31&lt;0,$E31&gt;=1),"",IFERROR(ROUND($D31/(1-$E31),2),""))</f>
        <v/>
      </c>
      <c r="H31" s="19">
        <f>IF($A31="","",IF(AND($F31="",$G31=""),"",ROUND(MAX(IF($F31="",0,$F31),IF($G31="",0,$G31)),2)))</f>
        <v/>
      </c>
      <c r="I31" s="17" t="n"/>
      <c r="J31" s="20" t="n"/>
      <c r="K31" s="16" t="n"/>
      <c r="L31" s="21">
        <f>IF($A31="","",IF(COUNTIF($A$4:$A$103,$A31)&gt;1,"SKU duplicado",IF(OR($D31="",NOT(ISNUMBER($D31)),$D31&lt;=0),"Custo inválido",IF(OR($E31="",NOT(ISNUMBER($E31)),$E31&lt;0,$E31&gt;=1),"Margem mínima inválida",IF($H31="","Piso ausente",IF(OR($I31="",NOT(ISNUMBER($I31)),$I31&lt;$H31),"Teto abaixo do piso ou ausente",IF(OR($J31="",NOT(ISNUMBER($J31)),$J31&lt;=0),"Estoque-alvo inválido",IF($K31&lt;&gt;"Ativo","Produto inativo","OK"))))))))</f>
        <v/>
      </c>
    </row>
    <row r="32">
      <c r="A32" s="16" t="n"/>
      <c r="B32" s="16" t="n"/>
      <c r="C32" s="16" t="n"/>
      <c r="D32" s="17" t="n"/>
      <c r="E32" s="18" t="n"/>
      <c r="F32" s="17" t="n"/>
      <c r="G32" s="19">
        <f>IF(OR($A32="",$D32="",$E32="",$D32&lt;=0,$E32&lt;0,$E32&gt;=1),"",IFERROR(ROUND($D32/(1-$E32),2),""))</f>
        <v/>
      </c>
      <c r="H32" s="19">
        <f>IF($A32="","",IF(AND($F32="",$G32=""),"",ROUND(MAX(IF($F32="",0,$F32),IF($G32="",0,$G32)),2)))</f>
        <v/>
      </c>
      <c r="I32" s="17" t="n"/>
      <c r="J32" s="20" t="n"/>
      <c r="K32" s="16" t="n"/>
      <c r="L32" s="21">
        <f>IF($A32="","",IF(COUNTIF($A$4:$A$103,$A32)&gt;1,"SKU duplicado",IF(OR($D32="",NOT(ISNUMBER($D32)),$D32&lt;=0),"Custo inválido",IF(OR($E32="",NOT(ISNUMBER($E32)),$E32&lt;0,$E32&gt;=1),"Margem mínima inválida",IF($H32="","Piso ausente",IF(OR($I32="",NOT(ISNUMBER($I32)),$I32&lt;$H32),"Teto abaixo do piso ou ausente",IF(OR($J32="",NOT(ISNUMBER($J32)),$J32&lt;=0),"Estoque-alvo inválido",IF($K32&lt;&gt;"Ativo","Produto inativo","OK"))))))))</f>
        <v/>
      </c>
    </row>
    <row r="33">
      <c r="A33" s="16" t="n"/>
      <c r="B33" s="16" t="n"/>
      <c r="C33" s="16" t="n"/>
      <c r="D33" s="17" t="n"/>
      <c r="E33" s="18" t="n"/>
      <c r="F33" s="17" t="n"/>
      <c r="G33" s="19">
        <f>IF(OR($A33="",$D33="",$E33="",$D33&lt;=0,$E33&lt;0,$E33&gt;=1),"",IFERROR(ROUND($D33/(1-$E33),2),""))</f>
        <v/>
      </c>
      <c r="H33" s="19">
        <f>IF($A33="","",IF(AND($F33="",$G33=""),"",ROUND(MAX(IF($F33="",0,$F33),IF($G33="",0,$G33)),2)))</f>
        <v/>
      </c>
      <c r="I33" s="17" t="n"/>
      <c r="J33" s="20" t="n"/>
      <c r="K33" s="16" t="n"/>
      <c r="L33" s="21">
        <f>IF($A33="","",IF(COUNTIF($A$4:$A$103,$A33)&gt;1,"SKU duplicado",IF(OR($D33="",NOT(ISNUMBER($D33)),$D33&lt;=0),"Custo inválido",IF(OR($E33="",NOT(ISNUMBER($E33)),$E33&lt;0,$E33&gt;=1),"Margem mínima inválida",IF($H33="","Piso ausente",IF(OR($I33="",NOT(ISNUMBER($I33)),$I33&lt;$H33),"Teto abaixo do piso ou ausente",IF(OR($J33="",NOT(ISNUMBER($J33)),$J33&lt;=0),"Estoque-alvo inválido",IF($K33&lt;&gt;"Ativo","Produto inativo","OK"))))))))</f>
        <v/>
      </c>
    </row>
    <row r="34">
      <c r="A34" s="16" t="n"/>
      <c r="B34" s="16" t="n"/>
      <c r="C34" s="16" t="n"/>
      <c r="D34" s="17" t="n"/>
      <c r="E34" s="18" t="n"/>
      <c r="F34" s="17" t="n"/>
      <c r="G34" s="19">
        <f>IF(OR($A34="",$D34="",$E34="",$D34&lt;=0,$E34&lt;0,$E34&gt;=1),"",IFERROR(ROUND($D34/(1-$E34),2),""))</f>
        <v/>
      </c>
      <c r="H34" s="19">
        <f>IF($A34="","",IF(AND($F34="",$G34=""),"",ROUND(MAX(IF($F34="",0,$F34),IF($G34="",0,$G34)),2)))</f>
        <v/>
      </c>
      <c r="I34" s="17" t="n"/>
      <c r="J34" s="20" t="n"/>
      <c r="K34" s="16" t="n"/>
      <c r="L34" s="21">
        <f>IF($A34="","",IF(COUNTIF($A$4:$A$103,$A34)&gt;1,"SKU duplicado",IF(OR($D34="",NOT(ISNUMBER($D34)),$D34&lt;=0),"Custo inválido",IF(OR($E34="",NOT(ISNUMBER($E34)),$E34&lt;0,$E34&gt;=1),"Margem mínima inválida",IF($H34="","Piso ausente",IF(OR($I34="",NOT(ISNUMBER($I34)),$I34&lt;$H34),"Teto abaixo do piso ou ausente",IF(OR($J34="",NOT(ISNUMBER($J34)),$J34&lt;=0),"Estoque-alvo inválido",IF($K34&lt;&gt;"Ativo","Produto inativo","OK"))))))))</f>
        <v/>
      </c>
    </row>
    <row r="35">
      <c r="A35" s="16" t="n"/>
      <c r="B35" s="16" t="n"/>
      <c r="C35" s="16" t="n"/>
      <c r="D35" s="17" t="n"/>
      <c r="E35" s="18" t="n"/>
      <c r="F35" s="17" t="n"/>
      <c r="G35" s="19">
        <f>IF(OR($A35="",$D35="",$E35="",$D35&lt;=0,$E35&lt;0,$E35&gt;=1),"",IFERROR(ROUND($D35/(1-$E35),2),""))</f>
        <v/>
      </c>
      <c r="H35" s="19">
        <f>IF($A35="","",IF(AND($F35="",$G35=""),"",ROUND(MAX(IF($F35="",0,$F35),IF($G35="",0,$G35)),2)))</f>
        <v/>
      </c>
      <c r="I35" s="17" t="n"/>
      <c r="J35" s="20" t="n"/>
      <c r="K35" s="16" t="n"/>
      <c r="L35" s="21">
        <f>IF($A35="","",IF(COUNTIF($A$4:$A$103,$A35)&gt;1,"SKU duplicado",IF(OR($D35="",NOT(ISNUMBER($D35)),$D35&lt;=0),"Custo inválido",IF(OR($E35="",NOT(ISNUMBER($E35)),$E35&lt;0,$E35&gt;=1),"Margem mínima inválida",IF($H35="","Piso ausente",IF(OR($I35="",NOT(ISNUMBER($I35)),$I35&lt;$H35),"Teto abaixo do piso ou ausente",IF(OR($J35="",NOT(ISNUMBER($J35)),$J35&lt;=0),"Estoque-alvo inválido",IF($K35&lt;&gt;"Ativo","Produto inativo","OK"))))))))</f>
        <v/>
      </c>
    </row>
    <row r="36">
      <c r="A36" s="16" t="n"/>
      <c r="B36" s="16" t="n"/>
      <c r="C36" s="16" t="n"/>
      <c r="D36" s="17" t="n"/>
      <c r="E36" s="18" t="n"/>
      <c r="F36" s="17" t="n"/>
      <c r="G36" s="19">
        <f>IF(OR($A36="",$D36="",$E36="",$D36&lt;=0,$E36&lt;0,$E36&gt;=1),"",IFERROR(ROUND($D36/(1-$E36),2),""))</f>
        <v/>
      </c>
      <c r="H36" s="19">
        <f>IF($A36="","",IF(AND($F36="",$G36=""),"",ROUND(MAX(IF($F36="",0,$F36),IF($G36="",0,$G36)),2)))</f>
        <v/>
      </c>
      <c r="I36" s="17" t="n"/>
      <c r="J36" s="20" t="n"/>
      <c r="K36" s="16" t="n"/>
      <c r="L36" s="21">
        <f>IF($A36="","",IF(COUNTIF($A$4:$A$103,$A36)&gt;1,"SKU duplicado",IF(OR($D36="",NOT(ISNUMBER($D36)),$D36&lt;=0),"Custo inválido",IF(OR($E36="",NOT(ISNUMBER($E36)),$E36&lt;0,$E36&gt;=1),"Margem mínima inválida",IF($H36="","Piso ausente",IF(OR($I36="",NOT(ISNUMBER($I36)),$I36&lt;$H36),"Teto abaixo do piso ou ausente",IF(OR($J36="",NOT(ISNUMBER($J36)),$J36&lt;=0),"Estoque-alvo inválido",IF($K36&lt;&gt;"Ativo","Produto inativo","OK"))))))))</f>
        <v/>
      </c>
    </row>
    <row r="37">
      <c r="A37" s="16" t="n"/>
      <c r="B37" s="16" t="n"/>
      <c r="C37" s="16" t="n"/>
      <c r="D37" s="17" t="n"/>
      <c r="E37" s="18" t="n"/>
      <c r="F37" s="17" t="n"/>
      <c r="G37" s="19">
        <f>IF(OR($A37="",$D37="",$E37="",$D37&lt;=0,$E37&lt;0,$E37&gt;=1),"",IFERROR(ROUND($D37/(1-$E37),2),""))</f>
        <v/>
      </c>
      <c r="H37" s="19">
        <f>IF($A37="","",IF(AND($F37="",$G37=""),"",ROUND(MAX(IF($F37="",0,$F37),IF($G37="",0,$G37)),2)))</f>
        <v/>
      </c>
      <c r="I37" s="17" t="n"/>
      <c r="J37" s="20" t="n"/>
      <c r="K37" s="16" t="n"/>
      <c r="L37" s="21">
        <f>IF($A37="","",IF(COUNTIF($A$4:$A$103,$A37)&gt;1,"SKU duplicado",IF(OR($D37="",NOT(ISNUMBER($D37)),$D37&lt;=0),"Custo inválido",IF(OR($E37="",NOT(ISNUMBER($E37)),$E37&lt;0,$E37&gt;=1),"Margem mínima inválida",IF($H37="","Piso ausente",IF(OR($I37="",NOT(ISNUMBER($I37)),$I37&lt;$H37),"Teto abaixo do piso ou ausente",IF(OR($J37="",NOT(ISNUMBER($J37)),$J37&lt;=0),"Estoque-alvo inválido",IF($K37&lt;&gt;"Ativo","Produto inativo","OK"))))))))</f>
        <v/>
      </c>
    </row>
    <row r="38">
      <c r="A38" s="16" t="n"/>
      <c r="B38" s="16" t="n"/>
      <c r="C38" s="16" t="n"/>
      <c r="D38" s="17" t="n"/>
      <c r="E38" s="18" t="n"/>
      <c r="F38" s="17" t="n"/>
      <c r="G38" s="19">
        <f>IF(OR($A38="",$D38="",$E38="",$D38&lt;=0,$E38&lt;0,$E38&gt;=1),"",IFERROR(ROUND($D38/(1-$E38),2),""))</f>
        <v/>
      </c>
      <c r="H38" s="19">
        <f>IF($A38="","",IF(AND($F38="",$G38=""),"",ROUND(MAX(IF($F38="",0,$F38),IF($G38="",0,$G38)),2)))</f>
        <v/>
      </c>
      <c r="I38" s="17" t="n"/>
      <c r="J38" s="20" t="n"/>
      <c r="K38" s="16" t="n"/>
      <c r="L38" s="21">
        <f>IF($A38="","",IF(COUNTIF($A$4:$A$103,$A38)&gt;1,"SKU duplicado",IF(OR($D38="",NOT(ISNUMBER($D38)),$D38&lt;=0),"Custo inválido",IF(OR($E38="",NOT(ISNUMBER($E38)),$E38&lt;0,$E38&gt;=1),"Margem mínima inválida",IF($H38="","Piso ausente",IF(OR($I38="",NOT(ISNUMBER($I38)),$I38&lt;$H38),"Teto abaixo do piso ou ausente",IF(OR($J38="",NOT(ISNUMBER($J38)),$J38&lt;=0),"Estoque-alvo inválido",IF($K38&lt;&gt;"Ativo","Produto inativo","OK"))))))))</f>
        <v/>
      </c>
    </row>
    <row r="39">
      <c r="A39" s="16" t="n"/>
      <c r="B39" s="16" t="n"/>
      <c r="C39" s="16" t="n"/>
      <c r="D39" s="17" t="n"/>
      <c r="E39" s="18" t="n"/>
      <c r="F39" s="17" t="n"/>
      <c r="G39" s="19">
        <f>IF(OR($A39="",$D39="",$E39="",$D39&lt;=0,$E39&lt;0,$E39&gt;=1),"",IFERROR(ROUND($D39/(1-$E39),2),""))</f>
        <v/>
      </c>
      <c r="H39" s="19">
        <f>IF($A39="","",IF(AND($F39="",$G39=""),"",ROUND(MAX(IF($F39="",0,$F39),IF($G39="",0,$G39)),2)))</f>
        <v/>
      </c>
      <c r="I39" s="17" t="n"/>
      <c r="J39" s="20" t="n"/>
      <c r="K39" s="16" t="n"/>
      <c r="L39" s="21">
        <f>IF($A39="","",IF(COUNTIF($A$4:$A$103,$A39)&gt;1,"SKU duplicado",IF(OR($D39="",NOT(ISNUMBER($D39)),$D39&lt;=0),"Custo inválido",IF(OR($E39="",NOT(ISNUMBER($E39)),$E39&lt;0,$E39&gt;=1),"Margem mínima inválida",IF($H39="","Piso ausente",IF(OR($I39="",NOT(ISNUMBER($I39)),$I39&lt;$H39),"Teto abaixo do piso ou ausente",IF(OR($J39="",NOT(ISNUMBER($J39)),$J39&lt;=0),"Estoque-alvo inválido",IF($K39&lt;&gt;"Ativo","Produto inativo","OK"))))))))</f>
        <v/>
      </c>
    </row>
    <row r="40">
      <c r="A40" s="16" t="n"/>
      <c r="B40" s="16" t="n"/>
      <c r="C40" s="16" t="n"/>
      <c r="D40" s="17" t="n"/>
      <c r="E40" s="18" t="n"/>
      <c r="F40" s="17" t="n"/>
      <c r="G40" s="19">
        <f>IF(OR($A40="",$D40="",$E40="",$D40&lt;=0,$E40&lt;0,$E40&gt;=1),"",IFERROR(ROUND($D40/(1-$E40),2),""))</f>
        <v/>
      </c>
      <c r="H40" s="19">
        <f>IF($A40="","",IF(AND($F40="",$G40=""),"",ROUND(MAX(IF($F40="",0,$F40),IF($G40="",0,$G40)),2)))</f>
        <v/>
      </c>
      <c r="I40" s="17" t="n"/>
      <c r="J40" s="20" t="n"/>
      <c r="K40" s="16" t="n"/>
      <c r="L40" s="21">
        <f>IF($A40="","",IF(COUNTIF($A$4:$A$103,$A40)&gt;1,"SKU duplicado",IF(OR($D40="",NOT(ISNUMBER($D40)),$D40&lt;=0),"Custo inválido",IF(OR($E40="",NOT(ISNUMBER($E40)),$E40&lt;0,$E40&gt;=1),"Margem mínima inválida",IF($H40="","Piso ausente",IF(OR($I40="",NOT(ISNUMBER($I40)),$I40&lt;$H40),"Teto abaixo do piso ou ausente",IF(OR($J40="",NOT(ISNUMBER($J40)),$J40&lt;=0),"Estoque-alvo inválido",IF($K40&lt;&gt;"Ativo","Produto inativo","OK"))))))))</f>
        <v/>
      </c>
    </row>
    <row r="41">
      <c r="A41" s="16" t="n"/>
      <c r="B41" s="16" t="n"/>
      <c r="C41" s="16" t="n"/>
      <c r="D41" s="17" t="n"/>
      <c r="E41" s="18" t="n"/>
      <c r="F41" s="17" t="n"/>
      <c r="G41" s="19">
        <f>IF(OR($A41="",$D41="",$E41="",$D41&lt;=0,$E41&lt;0,$E41&gt;=1),"",IFERROR(ROUND($D41/(1-$E41),2),""))</f>
        <v/>
      </c>
      <c r="H41" s="19">
        <f>IF($A41="","",IF(AND($F41="",$G41=""),"",ROUND(MAX(IF($F41="",0,$F41),IF($G41="",0,$G41)),2)))</f>
        <v/>
      </c>
      <c r="I41" s="17" t="n"/>
      <c r="J41" s="20" t="n"/>
      <c r="K41" s="16" t="n"/>
      <c r="L41" s="21">
        <f>IF($A41="","",IF(COUNTIF($A$4:$A$103,$A41)&gt;1,"SKU duplicado",IF(OR($D41="",NOT(ISNUMBER($D41)),$D41&lt;=0),"Custo inválido",IF(OR($E41="",NOT(ISNUMBER($E41)),$E41&lt;0,$E41&gt;=1),"Margem mínima inválida",IF($H41="","Piso ausente",IF(OR($I41="",NOT(ISNUMBER($I41)),$I41&lt;$H41),"Teto abaixo do piso ou ausente",IF(OR($J41="",NOT(ISNUMBER($J41)),$J41&lt;=0),"Estoque-alvo inválido",IF($K41&lt;&gt;"Ativo","Produto inativo","OK"))))))))</f>
        <v/>
      </c>
    </row>
    <row r="42">
      <c r="A42" s="16" t="n"/>
      <c r="B42" s="16" t="n"/>
      <c r="C42" s="16" t="n"/>
      <c r="D42" s="17" t="n"/>
      <c r="E42" s="18" t="n"/>
      <c r="F42" s="17" t="n"/>
      <c r="G42" s="19">
        <f>IF(OR($A42="",$D42="",$E42="",$D42&lt;=0,$E42&lt;0,$E42&gt;=1),"",IFERROR(ROUND($D42/(1-$E42),2),""))</f>
        <v/>
      </c>
      <c r="H42" s="19">
        <f>IF($A42="","",IF(AND($F42="",$G42=""),"",ROUND(MAX(IF($F42="",0,$F42),IF($G42="",0,$G42)),2)))</f>
        <v/>
      </c>
      <c r="I42" s="17" t="n"/>
      <c r="J42" s="20" t="n"/>
      <c r="K42" s="16" t="n"/>
      <c r="L42" s="21">
        <f>IF($A42="","",IF(COUNTIF($A$4:$A$103,$A42)&gt;1,"SKU duplicado",IF(OR($D42="",NOT(ISNUMBER($D42)),$D42&lt;=0),"Custo inválido",IF(OR($E42="",NOT(ISNUMBER($E42)),$E42&lt;0,$E42&gt;=1),"Margem mínima inválida",IF($H42="","Piso ausente",IF(OR($I42="",NOT(ISNUMBER($I42)),$I42&lt;$H42),"Teto abaixo do piso ou ausente",IF(OR($J42="",NOT(ISNUMBER($J42)),$J42&lt;=0),"Estoque-alvo inválido",IF($K42&lt;&gt;"Ativo","Produto inativo","OK"))))))))</f>
        <v/>
      </c>
    </row>
    <row r="43">
      <c r="A43" s="16" t="n"/>
      <c r="B43" s="16" t="n"/>
      <c r="C43" s="16" t="n"/>
      <c r="D43" s="17" t="n"/>
      <c r="E43" s="18" t="n"/>
      <c r="F43" s="17" t="n"/>
      <c r="G43" s="19">
        <f>IF(OR($A43="",$D43="",$E43="",$D43&lt;=0,$E43&lt;0,$E43&gt;=1),"",IFERROR(ROUND($D43/(1-$E43),2),""))</f>
        <v/>
      </c>
      <c r="H43" s="19">
        <f>IF($A43="","",IF(AND($F43="",$G43=""),"",ROUND(MAX(IF($F43="",0,$F43),IF($G43="",0,$G43)),2)))</f>
        <v/>
      </c>
      <c r="I43" s="17" t="n"/>
      <c r="J43" s="20" t="n"/>
      <c r="K43" s="16" t="n"/>
      <c r="L43" s="21">
        <f>IF($A43="","",IF(COUNTIF($A$4:$A$103,$A43)&gt;1,"SKU duplicado",IF(OR($D43="",NOT(ISNUMBER($D43)),$D43&lt;=0),"Custo inválido",IF(OR($E43="",NOT(ISNUMBER($E43)),$E43&lt;0,$E43&gt;=1),"Margem mínima inválida",IF($H43="","Piso ausente",IF(OR($I43="",NOT(ISNUMBER($I43)),$I43&lt;$H43),"Teto abaixo do piso ou ausente",IF(OR($J43="",NOT(ISNUMBER($J43)),$J43&lt;=0),"Estoque-alvo inválido",IF($K43&lt;&gt;"Ativo","Produto inativo","OK"))))))))</f>
        <v/>
      </c>
    </row>
    <row r="44">
      <c r="A44" s="16" t="n"/>
      <c r="B44" s="16" t="n"/>
      <c r="C44" s="16" t="n"/>
      <c r="D44" s="17" t="n"/>
      <c r="E44" s="18" t="n"/>
      <c r="F44" s="17" t="n"/>
      <c r="G44" s="19">
        <f>IF(OR($A44="",$D44="",$E44="",$D44&lt;=0,$E44&lt;0,$E44&gt;=1),"",IFERROR(ROUND($D44/(1-$E44),2),""))</f>
        <v/>
      </c>
      <c r="H44" s="19">
        <f>IF($A44="","",IF(AND($F44="",$G44=""),"",ROUND(MAX(IF($F44="",0,$F44),IF($G44="",0,$G44)),2)))</f>
        <v/>
      </c>
      <c r="I44" s="17" t="n"/>
      <c r="J44" s="20" t="n"/>
      <c r="K44" s="16" t="n"/>
      <c r="L44" s="21">
        <f>IF($A44="","",IF(COUNTIF($A$4:$A$103,$A44)&gt;1,"SKU duplicado",IF(OR($D44="",NOT(ISNUMBER($D44)),$D44&lt;=0),"Custo inválido",IF(OR($E44="",NOT(ISNUMBER($E44)),$E44&lt;0,$E44&gt;=1),"Margem mínima inválida",IF($H44="","Piso ausente",IF(OR($I44="",NOT(ISNUMBER($I44)),$I44&lt;$H44),"Teto abaixo do piso ou ausente",IF(OR($J44="",NOT(ISNUMBER($J44)),$J44&lt;=0),"Estoque-alvo inválido",IF($K44&lt;&gt;"Ativo","Produto inativo","OK"))))))))</f>
        <v/>
      </c>
    </row>
    <row r="45">
      <c r="A45" s="16" t="n"/>
      <c r="B45" s="16" t="n"/>
      <c r="C45" s="16" t="n"/>
      <c r="D45" s="17" t="n"/>
      <c r="E45" s="18" t="n"/>
      <c r="F45" s="17" t="n"/>
      <c r="G45" s="19">
        <f>IF(OR($A45="",$D45="",$E45="",$D45&lt;=0,$E45&lt;0,$E45&gt;=1),"",IFERROR(ROUND($D45/(1-$E45),2),""))</f>
        <v/>
      </c>
      <c r="H45" s="19">
        <f>IF($A45="","",IF(AND($F45="",$G45=""),"",ROUND(MAX(IF($F45="",0,$F45),IF($G45="",0,$G45)),2)))</f>
        <v/>
      </c>
      <c r="I45" s="17" t="n"/>
      <c r="J45" s="20" t="n"/>
      <c r="K45" s="16" t="n"/>
      <c r="L45" s="21">
        <f>IF($A45="","",IF(COUNTIF($A$4:$A$103,$A45)&gt;1,"SKU duplicado",IF(OR($D45="",NOT(ISNUMBER($D45)),$D45&lt;=0),"Custo inválido",IF(OR($E45="",NOT(ISNUMBER($E45)),$E45&lt;0,$E45&gt;=1),"Margem mínima inválida",IF($H45="","Piso ausente",IF(OR($I45="",NOT(ISNUMBER($I45)),$I45&lt;$H45),"Teto abaixo do piso ou ausente",IF(OR($J45="",NOT(ISNUMBER($J45)),$J45&lt;=0),"Estoque-alvo inválido",IF($K45&lt;&gt;"Ativo","Produto inativo","OK"))))))))</f>
        <v/>
      </c>
    </row>
    <row r="46">
      <c r="A46" s="16" t="n"/>
      <c r="B46" s="16" t="n"/>
      <c r="C46" s="16" t="n"/>
      <c r="D46" s="17" t="n"/>
      <c r="E46" s="18" t="n"/>
      <c r="F46" s="17" t="n"/>
      <c r="G46" s="19">
        <f>IF(OR($A46="",$D46="",$E46="",$D46&lt;=0,$E46&lt;0,$E46&gt;=1),"",IFERROR(ROUND($D46/(1-$E46),2),""))</f>
        <v/>
      </c>
      <c r="H46" s="19">
        <f>IF($A46="","",IF(AND($F46="",$G46=""),"",ROUND(MAX(IF($F46="",0,$F46),IF($G46="",0,$G46)),2)))</f>
        <v/>
      </c>
      <c r="I46" s="17" t="n"/>
      <c r="J46" s="20" t="n"/>
      <c r="K46" s="16" t="n"/>
      <c r="L46" s="21">
        <f>IF($A46="","",IF(COUNTIF($A$4:$A$103,$A46)&gt;1,"SKU duplicado",IF(OR($D46="",NOT(ISNUMBER($D46)),$D46&lt;=0),"Custo inválido",IF(OR($E46="",NOT(ISNUMBER($E46)),$E46&lt;0,$E46&gt;=1),"Margem mínima inválida",IF($H46="","Piso ausente",IF(OR($I46="",NOT(ISNUMBER($I46)),$I46&lt;$H46),"Teto abaixo do piso ou ausente",IF(OR($J46="",NOT(ISNUMBER($J46)),$J46&lt;=0),"Estoque-alvo inválido",IF($K46&lt;&gt;"Ativo","Produto inativo","OK"))))))))</f>
        <v/>
      </c>
    </row>
    <row r="47">
      <c r="A47" s="16" t="n"/>
      <c r="B47" s="16" t="n"/>
      <c r="C47" s="16" t="n"/>
      <c r="D47" s="17" t="n"/>
      <c r="E47" s="18" t="n"/>
      <c r="F47" s="17" t="n"/>
      <c r="G47" s="19">
        <f>IF(OR($A47="",$D47="",$E47="",$D47&lt;=0,$E47&lt;0,$E47&gt;=1),"",IFERROR(ROUND($D47/(1-$E47),2),""))</f>
        <v/>
      </c>
      <c r="H47" s="19">
        <f>IF($A47="","",IF(AND($F47="",$G47=""),"",ROUND(MAX(IF($F47="",0,$F47),IF($G47="",0,$G47)),2)))</f>
        <v/>
      </c>
      <c r="I47" s="17" t="n"/>
      <c r="J47" s="20" t="n"/>
      <c r="K47" s="16" t="n"/>
      <c r="L47" s="21">
        <f>IF($A47="","",IF(COUNTIF($A$4:$A$103,$A47)&gt;1,"SKU duplicado",IF(OR($D47="",NOT(ISNUMBER($D47)),$D47&lt;=0),"Custo inválido",IF(OR($E47="",NOT(ISNUMBER($E47)),$E47&lt;0,$E47&gt;=1),"Margem mínima inválida",IF($H47="","Piso ausente",IF(OR($I47="",NOT(ISNUMBER($I47)),$I47&lt;$H47),"Teto abaixo do piso ou ausente",IF(OR($J47="",NOT(ISNUMBER($J47)),$J47&lt;=0),"Estoque-alvo inválido",IF($K47&lt;&gt;"Ativo","Produto inativo","OK"))))))))</f>
        <v/>
      </c>
    </row>
    <row r="48">
      <c r="A48" s="16" t="n"/>
      <c r="B48" s="16" t="n"/>
      <c r="C48" s="16" t="n"/>
      <c r="D48" s="17" t="n"/>
      <c r="E48" s="18" t="n"/>
      <c r="F48" s="17" t="n"/>
      <c r="G48" s="19">
        <f>IF(OR($A48="",$D48="",$E48="",$D48&lt;=0,$E48&lt;0,$E48&gt;=1),"",IFERROR(ROUND($D48/(1-$E48),2),""))</f>
        <v/>
      </c>
      <c r="H48" s="19">
        <f>IF($A48="","",IF(AND($F48="",$G48=""),"",ROUND(MAX(IF($F48="",0,$F48),IF($G48="",0,$G48)),2)))</f>
        <v/>
      </c>
      <c r="I48" s="17" t="n"/>
      <c r="J48" s="20" t="n"/>
      <c r="K48" s="16" t="n"/>
      <c r="L48" s="21">
        <f>IF($A48="","",IF(COUNTIF($A$4:$A$103,$A48)&gt;1,"SKU duplicado",IF(OR($D48="",NOT(ISNUMBER($D48)),$D48&lt;=0),"Custo inválido",IF(OR($E48="",NOT(ISNUMBER($E48)),$E48&lt;0,$E48&gt;=1),"Margem mínima inválida",IF($H48="","Piso ausente",IF(OR($I48="",NOT(ISNUMBER($I48)),$I48&lt;$H48),"Teto abaixo do piso ou ausente",IF(OR($J48="",NOT(ISNUMBER($J48)),$J48&lt;=0),"Estoque-alvo inválido",IF($K48&lt;&gt;"Ativo","Produto inativo","OK"))))))))</f>
        <v/>
      </c>
    </row>
    <row r="49">
      <c r="A49" s="16" t="n"/>
      <c r="B49" s="16" t="n"/>
      <c r="C49" s="16" t="n"/>
      <c r="D49" s="17" t="n"/>
      <c r="E49" s="18" t="n"/>
      <c r="F49" s="17" t="n"/>
      <c r="G49" s="19">
        <f>IF(OR($A49="",$D49="",$E49="",$D49&lt;=0,$E49&lt;0,$E49&gt;=1),"",IFERROR(ROUND($D49/(1-$E49),2),""))</f>
        <v/>
      </c>
      <c r="H49" s="19">
        <f>IF($A49="","",IF(AND($F49="",$G49=""),"",ROUND(MAX(IF($F49="",0,$F49),IF($G49="",0,$G49)),2)))</f>
        <v/>
      </c>
      <c r="I49" s="17" t="n"/>
      <c r="J49" s="20" t="n"/>
      <c r="K49" s="16" t="n"/>
      <c r="L49" s="21">
        <f>IF($A49="","",IF(COUNTIF($A$4:$A$103,$A49)&gt;1,"SKU duplicado",IF(OR($D49="",NOT(ISNUMBER($D49)),$D49&lt;=0),"Custo inválido",IF(OR($E49="",NOT(ISNUMBER($E49)),$E49&lt;0,$E49&gt;=1),"Margem mínima inválida",IF($H49="","Piso ausente",IF(OR($I49="",NOT(ISNUMBER($I49)),$I49&lt;$H49),"Teto abaixo do piso ou ausente",IF(OR($J49="",NOT(ISNUMBER($J49)),$J49&lt;=0),"Estoque-alvo inválido",IF($K49&lt;&gt;"Ativo","Produto inativo","OK"))))))))</f>
        <v/>
      </c>
    </row>
    <row r="50">
      <c r="A50" s="16" t="n"/>
      <c r="B50" s="16" t="n"/>
      <c r="C50" s="16" t="n"/>
      <c r="D50" s="17" t="n"/>
      <c r="E50" s="18" t="n"/>
      <c r="F50" s="17" t="n"/>
      <c r="G50" s="19">
        <f>IF(OR($A50="",$D50="",$E50="",$D50&lt;=0,$E50&lt;0,$E50&gt;=1),"",IFERROR(ROUND($D50/(1-$E50),2),""))</f>
        <v/>
      </c>
      <c r="H50" s="19">
        <f>IF($A50="","",IF(AND($F50="",$G50=""),"",ROUND(MAX(IF($F50="",0,$F50),IF($G50="",0,$G50)),2)))</f>
        <v/>
      </c>
      <c r="I50" s="17" t="n"/>
      <c r="J50" s="20" t="n"/>
      <c r="K50" s="16" t="n"/>
      <c r="L50" s="21">
        <f>IF($A50="","",IF(COUNTIF($A$4:$A$103,$A50)&gt;1,"SKU duplicado",IF(OR($D50="",NOT(ISNUMBER($D50)),$D50&lt;=0),"Custo inválido",IF(OR($E50="",NOT(ISNUMBER($E50)),$E50&lt;0,$E50&gt;=1),"Margem mínima inválida",IF($H50="","Piso ausente",IF(OR($I50="",NOT(ISNUMBER($I50)),$I50&lt;$H50),"Teto abaixo do piso ou ausente",IF(OR($J50="",NOT(ISNUMBER($J50)),$J50&lt;=0),"Estoque-alvo inválido",IF($K50&lt;&gt;"Ativo","Produto inativo","OK"))))))))</f>
        <v/>
      </c>
    </row>
    <row r="51">
      <c r="A51" s="16" t="n"/>
      <c r="B51" s="16" t="n"/>
      <c r="C51" s="16" t="n"/>
      <c r="D51" s="17" t="n"/>
      <c r="E51" s="18" t="n"/>
      <c r="F51" s="17" t="n"/>
      <c r="G51" s="19">
        <f>IF(OR($A51="",$D51="",$E51="",$D51&lt;=0,$E51&lt;0,$E51&gt;=1),"",IFERROR(ROUND($D51/(1-$E51),2),""))</f>
        <v/>
      </c>
      <c r="H51" s="19">
        <f>IF($A51="","",IF(AND($F51="",$G51=""),"",ROUND(MAX(IF($F51="",0,$F51),IF($G51="",0,$G51)),2)))</f>
        <v/>
      </c>
      <c r="I51" s="17" t="n"/>
      <c r="J51" s="20" t="n"/>
      <c r="K51" s="16" t="n"/>
      <c r="L51" s="21">
        <f>IF($A51="","",IF(COUNTIF($A$4:$A$103,$A51)&gt;1,"SKU duplicado",IF(OR($D51="",NOT(ISNUMBER($D51)),$D51&lt;=0),"Custo inválido",IF(OR($E51="",NOT(ISNUMBER($E51)),$E51&lt;0,$E51&gt;=1),"Margem mínima inválida",IF($H51="","Piso ausente",IF(OR($I51="",NOT(ISNUMBER($I51)),$I51&lt;$H51),"Teto abaixo do piso ou ausente",IF(OR($J51="",NOT(ISNUMBER($J51)),$J51&lt;=0),"Estoque-alvo inválido",IF($K51&lt;&gt;"Ativo","Produto inativo","OK"))))))))</f>
        <v/>
      </c>
    </row>
    <row r="52">
      <c r="A52" s="16" t="n"/>
      <c r="B52" s="16" t="n"/>
      <c r="C52" s="16" t="n"/>
      <c r="D52" s="17" t="n"/>
      <c r="E52" s="18" t="n"/>
      <c r="F52" s="17" t="n"/>
      <c r="G52" s="19">
        <f>IF(OR($A52="",$D52="",$E52="",$D52&lt;=0,$E52&lt;0,$E52&gt;=1),"",IFERROR(ROUND($D52/(1-$E52),2),""))</f>
        <v/>
      </c>
      <c r="H52" s="19">
        <f>IF($A52="","",IF(AND($F52="",$G52=""),"",ROUND(MAX(IF($F52="",0,$F52),IF($G52="",0,$G52)),2)))</f>
        <v/>
      </c>
      <c r="I52" s="17" t="n"/>
      <c r="J52" s="20" t="n"/>
      <c r="K52" s="16" t="n"/>
      <c r="L52" s="21">
        <f>IF($A52="","",IF(COUNTIF($A$4:$A$103,$A52)&gt;1,"SKU duplicado",IF(OR($D52="",NOT(ISNUMBER($D52)),$D52&lt;=0),"Custo inválido",IF(OR($E52="",NOT(ISNUMBER($E52)),$E52&lt;0,$E52&gt;=1),"Margem mínima inválida",IF($H52="","Piso ausente",IF(OR($I52="",NOT(ISNUMBER($I52)),$I52&lt;$H52),"Teto abaixo do piso ou ausente",IF(OR($J52="",NOT(ISNUMBER($J52)),$J52&lt;=0),"Estoque-alvo inválido",IF($K52&lt;&gt;"Ativo","Produto inativo","OK"))))))))</f>
        <v/>
      </c>
    </row>
    <row r="53">
      <c r="A53" s="16" t="n"/>
      <c r="B53" s="16" t="n"/>
      <c r="C53" s="16" t="n"/>
      <c r="D53" s="17" t="n"/>
      <c r="E53" s="18" t="n"/>
      <c r="F53" s="17" t="n"/>
      <c r="G53" s="19">
        <f>IF(OR($A53="",$D53="",$E53="",$D53&lt;=0,$E53&lt;0,$E53&gt;=1),"",IFERROR(ROUND($D53/(1-$E53),2),""))</f>
        <v/>
      </c>
      <c r="H53" s="19">
        <f>IF($A53="","",IF(AND($F53="",$G53=""),"",ROUND(MAX(IF($F53="",0,$F53),IF($G53="",0,$G53)),2)))</f>
        <v/>
      </c>
      <c r="I53" s="17" t="n"/>
      <c r="J53" s="20" t="n"/>
      <c r="K53" s="16" t="n"/>
      <c r="L53" s="21">
        <f>IF($A53="","",IF(COUNTIF($A$4:$A$103,$A53)&gt;1,"SKU duplicado",IF(OR($D53="",NOT(ISNUMBER($D53)),$D53&lt;=0),"Custo inválido",IF(OR($E53="",NOT(ISNUMBER($E53)),$E53&lt;0,$E53&gt;=1),"Margem mínima inválida",IF($H53="","Piso ausente",IF(OR($I53="",NOT(ISNUMBER($I53)),$I53&lt;$H53),"Teto abaixo do piso ou ausente",IF(OR($J53="",NOT(ISNUMBER($J53)),$J53&lt;=0),"Estoque-alvo inválido",IF($K53&lt;&gt;"Ativo","Produto inativo","OK"))))))))</f>
        <v/>
      </c>
    </row>
    <row r="54">
      <c r="A54" s="16" t="n"/>
      <c r="B54" s="16" t="n"/>
      <c r="C54" s="16" t="n"/>
      <c r="D54" s="17" t="n"/>
      <c r="E54" s="18" t="n"/>
      <c r="F54" s="17" t="n"/>
      <c r="G54" s="19">
        <f>IF(OR($A54="",$D54="",$E54="",$D54&lt;=0,$E54&lt;0,$E54&gt;=1),"",IFERROR(ROUND($D54/(1-$E54),2),""))</f>
        <v/>
      </c>
      <c r="H54" s="19">
        <f>IF($A54="","",IF(AND($F54="",$G54=""),"",ROUND(MAX(IF($F54="",0,$F54),IF($G54="",0,$G54)),2)))</f>
        <v/>
      </c>
      <c r="I54" s="17" t="n"/>
      <c r="J54" s="20" t="n"/>
      <c r="K54" s="16" t="n"/>
      <c r="L54" s="21">
        <f>IF($A54="","",IF(COUNTIF($A$4:$A$103,$A54)&gt;1,"SKU duplicado",IF(OR($D54="",NOT(ISNUMBER($D54)),$D54&lt;=0),"Custo inválido",IF(OR($E54="",NOT(ISNUMBER($E54)),$E54&lt;0,$E54&gt;=1),"Margem mínima inválida",IF($H54="","Piso ausente",IF(OR($I54="",NOT(ISNUMBER($I54)),$I54&lt;$H54),"Teto abaixo do piso ou ausente",IF(OR($J54="",NOT(ISNUMBER($J54)),$J54&lt;=0),"Estoque-alvo inválido",IF($K54&lt;&gt;"Ativo","Produto inativo","OK"))))))))</f>
        <v/>
      </c>
    </row>
    <row r="55">
      <c r="A55" s="16" t="n"/>
      <c r="B55" s="16" t="n"/>
      <c r="C55" s="16" t="n"/>
      <c r="D55" s="17" t="n"/>
      <c r="E55" s="18" t="n"/>
      <c r="F55" s="17" t="n"/>
      <c r="G55" s="19">
        <f>IF(OR($A55="",$D55="",$E55="",$D55&lt;=0,$E55&lt;0,$E55&gt;=1),"",IFERROR(ROUND($D55/(1-$E55),2),""))</f>
        <v/>
      </c>
      <c r="H55" s="19">
        <f>IF($A55="","",IF(AND($F55="",$G55=""),"",ROUND(MAX(IF($F55="",0,$F55),IF($G55="",0,$G55)),2)))</f>
        <v/>
      </c>
      <c r="I55" s="17" t="n"/>
      <c r="J55" s="20" t="n"/>
      <c r="K55" s="16" t="n"/>
      <c r="L55" s="21">
        <f>IF($A55="","",IF(COUNTIF($A$4:$A$103,$A55)&gt;1,"SKU duplicado",IF(OR($D55="",NOT(ISNUMBER($D55)),$D55&lt;=0),"Custo inválido",IF(OR($E55="",NOT(ISNUMBER($E55)),$E55&lt;0,$E55&gt;=1),"Margem mínima inválida",IF($H55="","Piso ausente",IF(OR($I55="",NOT(ISNUMBER($I55)),$I55&lt;$H55),"Teto abaixo do piso ou ausente",IF(OR($J55="",NOT(ISNUMBER($J55)),$J55&lt;=0),"Estoque-alvo inválido",IF($K55&lt;&gt;"Ativo","Produto inativo","OK"))))))))</f>
        <v/>
      </c>
    </row>
    <row r="56">
      <c r="A56" s="16" t="n"/>
      <c r="B56" s="16" t="n"/>
      <c r="C56" s="16" t="n"/>
      <c r="D56" s="17" t="n"/>
      <c r="E56" s="18" t="n"/>
      <c r="F56" s="17" t="n"/>
      <c r="G56" s="19">
        <f>IF(OR($A56="",$D56="",$E56="",$D56&lt;=0,$E56&lt;0,$E56&gt;=1),"",IFERROR(ROUND($D56/(1-$E56),2),""))</f>
        <v/>
      </c>
      <c r="H56" s="19">
        <f>IF($A56="","",IF(AND($F56="",$G56=""),"",ROUND(MAX(IF($F56="",0,$F56),IF($G56="",0,$G56)),2)))</f>
        <v/>
      </c>
      <c r="I56" s="17" t="n"/>
      <c r="J56" s="20" t="n"/>
      <c r="K56" s="16" t="n"/>
      <c r="L56" s="21">
        <f>IF($A56="","",IF(COUNTIF($A$4:$A$103,$A56)&gt;1,"SKU duplicado",IF(OR($D56="",NOT(ISNUMBER($D56)),$D56&lt;=0),"Custo inválido",IF(OR($E56="",NOT(ISNUMBER($E56)),$E56&lt;0,$E56&gt;=1),"Margem mínima inválida",IF($H56="","Piso ausente",IF(OR($I56="",NOT(ISNUMBER($I56)),$I56&lt;$H56),"Teto abaixo do piso ou ausente",IF(OR($J56="",NOT(ISNUMBER($J56)),$J56&lt;=0),"Estoque-alvo inválido",IF($K56&lt;&gt;"Ativo","Produto inativo","OK"))))))))</f>
        <v/>
      </c>
    </row>
    <row r="57">
      <c r="A57" s="16" t="n"/>
      <c r="B57" s="16" t="n"/>
      <c r="C57" s="16" t="n"/>
      <c r="D57" s="17" t="n"/>
      <c r="E57" s="18" t="n"/>
      <c r="F57" s="17" t="n"/>
      <c r="G57" s="19">
        <f>IF(OR($A57="",$D57="",$E57="",$D57&lt;=0,$E57&lt;0,$E57&gt;=1),"",IFERROR(ROUND($D57/(1-$E57),2),""))</f>
        <v/>
      </c>
      <c r="H57" s="19">
        <f>IF($A57="","",IF(AND($F57="",$G57=""),"",ROUND(MAX(IF($F57="",0,$F57),IF($G57="",0,$G57)),2)))</f>
        <v/>
      </c>
      <c r="I57" s="17" t="n"/>
      <c r="J57" s="20" t="n"/>
      <c r="K57" s="16" t="n"/>
      <c r="L57" s="21">
        <f>IF($A57="","",IF(COUNTIF($A$4:$A$103,$A57)&gt;1,"SKU duplicado",IF(OR($D57="",NOT(ISNUMBER($D57)),$D57&lt;=0),"Custo inválido",IF(OR($E57="",NOT(ISNUMBER($E57)),$E57&lt;0,$E57&gt;=1),"Margem mínima inválida",IF($H57="","Piso ausente",IF(OR($I57="",NOT(ISNUMBER($I57)),$I57&lt;$H57),"Teto abaixo do piso ou ausente",IF(OR($J57="",NOT(ISNUMBER($J57)),$J57&lt;=0),"Estoque-alvo inválido",IF($K57&lt;&gt;"Ativo","Produto inativo","OK"))))))))</f>
        <v/>
      </c>
    </row>
    <row r="58">
      <c r="A58" s="16" t="n"/>
      <c r="B58" s="16" t="n"/>
      <c r="C58" s="16" t="n"/>
      <c r="D58" s="17" t="n"/>
      <c r="E58" s="18" t="n"/>
      <c r="F58" s="17" t="n"/>
      <c r="G58" s="19">
        <f>IF(OR($A58="",$D58="",$E58="",$D58&lt;=0,$E58&lt;0,$E58&gt;=1),"",IFERROR(ROUND($D58/(1-$E58),2),""))</f>
        <v/>
      </c>
      <c r="H58" s="19">
        <f>IF($A58="","",IF(AND($F58="",$G58=""),"",ROUND(MAX(IF($F58="",0,$F58),IF($G58="",0,$G58)),2)))</f>
        <v/>
      </c>
      <c r="I58" s="17" t="n"/>
      <c r="J58" s="20" t="n"/>
      <c r="K58" s="16" t="n"/>
      <c r="L58" s="21">
        <f>IF($A58="","",IF(COUNTIF($A$4:$A$103,$A58)&gt;1,"SKU duplicado",IF(OR($D58="",NOT(ISNUMBER($D58)),$D58&lt;=0),"Custo inválido",IF(OR($E58="",NOT(ISNUMBER($E58)),$E58&lt;0,$E58&gt;=1),"Margem mínima inválida",IF($H58="","Piso ausente",IF(OR($I58="",NOT(ISNUMBER($I58)),$I58&lt;$H58),"Teto abaixo do piso ou ausente",IF(OR($J58="",NOT(ISNUMBER($J58)),$J58&lt;=0),"Estoque-alvo inválido",IF($K58&lt;&gt;"Ativo","Produto inativo","OK"))))))))</f>
        <v/>
      </c>
    </row>
    <row r="59">
      <c r="A59" s="16" t="n"/>
      <c r="B59" s="16" t="n"/>
      <c r="C59" s="16" t="n"/>
      <c r="D59" s="17" t="n"/>
      <c r="E59" s="18" t="n"/>
      <c r="F59" s="17" t="n"/>
      <c r="G59" s="19">
        <f>IF(OR($A59="",$D59="",$E59="",$D59&lt;=0,$E59&lt;0,$E59&gt;=1),"",IFERROR(ROUND($D59/(1-$E59),2),""))</f>
        <v/>
      </c>
      <c r="H59" s="19">
        <f>IF($A59="","",IF(AND($F59="",$G59=""),"",ROUND(MAX(IF($F59="",0,$F59),IF($G59="",0,$G59)),2)))</f>
        <v/>
      </c>
      <c r="I59" s="17" t="n"/>
      <c r="J59" s="20" t="n"/>
      <c r="K59" s="16" t="n"/>
      <c r="L59" s="21">
        <f>IF($A59="","",IF(COUNTIF($A$4:$A$103,$A59)&gt;1,"SKU duplicado",IF(OR($D59="",NOT(ISNUMBER($D59)),$D59&lt;=0),"Custo inválido",IF(OR($E59="",NOT(ISNUMBER($E59)),$E59&lt;0,$E59&gt;=1),"Margem mínima inválida",IF($H59="","Piso ausente",IF(OR($I59="",NOT(ISNUMBER($I59)),$I59&lt;$H59),"Teto abaixo do piso ou ausente",IF(OR($J59="",NOT(ISNUMBER($J59)),$J59&lt;=0),"Estoque-alvo inválido",IF($K59&lt;&gt;"Ativo","Produto inativo","OK"))))))))</f>
        <v/>
      </c>
    </row>
    <row r="60">
      <c r="A60" s="16" t="n"/>
      <c r="B60" s="16" t="n"/>
      <c r="C60" s="16" t="n"/>
      <c r="D60" s="17" t="n"/>
      <c r="E60" s="18" t="n"/>
      <c r="F60" s="17" t="n"/>
      <c r="G60" s="19">
        <f>IF(OR($A60="",$D60="",$E60="",$D60&lt;=0,$E60&lt;0,$E60&gt;=1),"",IFERROR(ROUND($D60/(1-$E60),2),""))</f>
        <v/>
      </c>
      <c r="H60" s="19">
        <f>IF($A60="","",IF(AND($F60="",$G60=""),"",ROUND(MAX(IF($F60="",0,$F60),IF($G60="",0,$G60)),2)))</f>
        <v/>
      </c>
      <c r="I60" s="17" t="n"/>
      <c r="J60" s="20" t="n"/>
      <c r="K60" s="16" t="n"/>
      <c r="L60" s="21">
        <f>IF($A60="","",IF(COUNTIF($A$4:$A$103,$A60)&gt;1,"SKU duplicado",IF(OR($D60="",NOT(ISNUMBER($D60)),$D60&lt;=0),"Custo inválido",IF(OR($E60="",NOT(ISNUMBER($E60)),$E60&lt;0,$E60&gt;=1),"Margem mínima inválida",IF($H60="","Piso ausente",IF(OR($I60="",NOT(ISNUMBER($I60)),$I60&lt;$H60),"Teto abaixo do piso ou ausente",IF(OR($J60="",NOT(ISNUMBER($J60)),$J60&lt;=0),"Estoque-alvo inválido",IF($K60&lt;&gt;"Ativo","Produto inativo","OK"))))))))</f>
        <v/>
      </c>
    </row>
    <row r="61">
      <c r="A61" s="16" t="n"/>
      <c r="B61" s="16" t="n"/>
      <c r="C61" s="16" t="n"/>
      <c r="D61" s="17" t="n"/>
      <c r="E61" s="18" t="n"/>
      <c r="F61" s="17" t="n"/>
      <c r="G61" s="19">
        <f>IF(OR($A61="",$D61="",$E61="",$D61&lt;=0,$E61&lt;0,$E61&gt;=1),"",IFERROR(ROUND($D61/(1-$E61),2),""))</f>
        <v/>
      </c>
      <c r="H61" s="19">
        <f>IF($A61="","",IF(AND($F61="",$G61=""),"",ROUND(MAX(IF($F61="",0,$F61),IF($G61="",0,$G61)),2)))</f>
        <v/>
      </c>
      <c r="I61" s="17" t="n"/>
      <c r="J61" s="20" t="n"/>
      <c r="K61" s="16" t="n"/>
      <c r="L61" s="21">
        <f>IF($A61="","",IF(COUNTIF($A$4:$A$103,$A61)&gt;1,"SKU duplicado",IF(OR($D61="",NOT(ISNUMBER($D61)),$D61&lt;=0),"Custo inválido",IF(OR($E61="",NOT(ISNUMBER($E61)),$E61&lt;0,$E61&gt;=1),"Margem mínima inválida",IF($H61="","Piso ausente",IF(OR($I61="",NOT(ISNUMBER($I61)),$I61&lt;$H61),"Teto abaixo do piso ou ausente",IF(OR($J61="",NOT(ISNUMBER($J61)),$J61&lt;=0),"Estoque-alvo inválido",IF($K61&lt;&gt;"Ativo","Produto inativo","OK"))))))))</f>
        <v/>
      </c>
    </row>
    <row r="62">
      <c r="A62" s="16" t="n"/>
      <c r="B62" s="16" t="n"/>
      <c r="C62" s="16" t="n"/>
      <c r="D62" s="17" t="n"/>
      <c r="E62" s="18" t="n"/>
      <c r="F62" s="17" t="n"/>
      <c r="G62" s="19">
        <f>IF(OR($A62="",$D62="",$E62="",$D62&lt;=0,$E62&lt;0,$E62&gt;=1),"",IFERROR(ROUND($D62/(1-$E62),2),""))</f>
        <v/>
      </c>
      <c r="H62" s="19">
        <f>IF($A62="","",IF(AND($F62="",$G62=""),"",ROUND(MAX(IF($F62="",0,$F62),IF($G62="",0,$G62)),2)))</f>
        <v/>
      </c>
      <c r="I62" s="17" t="n"/>
      <c r="J62" s="20" t="n"/>
      <c r="K62" s="16" t="n"/>
      <c r="L62" s="21">
        <f>IF($A62="","",IF(COUNTIF($A$4:$A$103,$A62)&gt;1,"SKU duplicado",IF(OR($D62="",NOT(ISNUMBER($D62)),$D62&lt;=0),"Custo inválido",IF(OR($E62="",NOT(ISNUMBER($E62)),$E62&lt;0,$E62&gt;=1),"Margem mínima inválida",IF($H62="","Piso ausente",IF(OR($I62="",NOT(ISNUMBER($I62)),$I62&lt;$H62),"Teto abaixo do piso ou ausente",IF(OR($J62="",NOT(ISNUMBER($J62)),$J62&lt;=0),"Estoque-alvo inválido",IF($K62&lt;&gt;"Ativo","Produto inativo","OK"))))))))</f>
        <v/>
      </c>
    </row>
    <row r="63">
      <c r="A63" s="16" t="n"/>
      <c r="B63" s="16" t="n"/>
      <c r="C63" s="16" t="n"/>
      <c r="D63" s="17" t="n"/>
      <c r="E63" s="18" t="n"/>
      <c r="F63" s="17" t="n"/>
      <c r="G63" s="19">
        <f>IF(OR($A63="",$D63="",$E63="",$D63&lt;=0,$E63&lt;0,$E63&gt;=1),"",IFERROR(ROUND($D63/(1-$E63),2),""))</f>
        <v/>
      </c>
      <c r="H63" s="19">
        <f>IF($A63="","",IF(AND($F63="",$G63=""),"",ROUND(MAX(IF($F63="",0,$F63),IF($G63="",0,$G63)),2)))</f>
        <v/>
      </c>
      <c r="I63" s="17" t="n"/>
      <c r="J63" s="20" t="n"/>
      <c r="K63" s="16" t="n"/>
      <c r="L63" s="21">
        <f>IF($A63="","",IF(COUNTIF($A$4:$A$103,$A63)&gt;1,"SKU duplicado",IF(OR($D63="",NOT(ISNUMBER($D63)),$D63&lt;=0),"Custo inválido",IF(OR($E63="",NOT(ISNUMBER($E63)),$E63&lt;0,$E63&gt;=1),"Margem mínima inválida",IF($H63="","Piso ausente",IF(OR($I63="",NOT(ISNUMBER($I63)),$I63&lt;$H63),"Teto abaixo do piso ou ausente",IF(OR($J63="",NOT(ISNUMBER($J63)),$J63&lt;=0),"Estoque-alvo inválido",IF($K63&lt;&gt;"Ativo","Produto inativo","OK"))))))))</f>
        <v/>
      </c>
    </row>
    <row r="64">
      <c r="A64" s="16" t="n"/>
      <c r="B64" s="16" t="n"/>
      <c r="C64" s="16" t="n"/>
      <c r="D64" s="17" t="n"/>
      <c r="E64" s="18" t="n"/>
      <c r="F64" s="17" t="n"/>
      <c r="G64" s="19">
        <f>IF(OR($A64="",$D64="",$E64="",$D64&lt;=0,$E64&lt;0,$E64&gt;=1),"",IFERROR(ROUND($D64/(1-$E64),2),""))</f>
        <v/>
      </c>
      <c r="H64" s="19">
        <f>IF($A64="","",IF(AND($F64="",$G64=""),"",ROUND(MAX(IF($F64="",0,$F64),IF($G64="",0,$G64)),2)))</f>
        <v/>
      </c>
      <c r="I64" s="17" t="n"/>
      <c r="J64" s="20" t="n"/>
      <c r="K64" s="16" t="n"/>
      <c r="L64" s="21">
        <f>IF($A64="","",IF(COUNTIF($A$4:$A$103,$A64)&gt;1,"SKU duplicado",IF(OR($D64="",NOT(ISNUMBER($D64)),$D64&lt;=0),"Custo inválido",IF(OR($E64="",NOT(ISNUMBER($E64)),$E64&lt;0,$E64&gt;=1),"Margem mínima inválida",IF($H64="","Piso ausente",IF(OR($I64="",NOT(ISNUMBER($I64)),$I64&lt;$H64),"Teto abaixo do piso ou ausente",IF(OR($J64="",NOT(ISNUMBER($J64)),$J64&lt;=0),"Estoque-alvo inválido",IF($K64&lt;&gt;"Ativo","Produto inativo","OK"))))))))</f>
        <v/>
      </c>
    </row>
    <row r="65">
      <c r="A65" s="16" t="n"/>
      <c r="B65" s="16" t="n"/>
      <c r="C65" s="16" t="n"/>
      <c r="D65" s="17" t="n"/>
      <c r="E65" s="18" t="n"/>
      <c r="F65" s="17" t="n"/>
      <c r="G65" s="19">
        <f>IF(OR($A65="",$D65="",$E65="",$D65&lt;=0,$E65&lt;0,$E65&gt;=1),"",IFERROR(ROUND($D65/(1-$E65),2),""))</f>
        <v/>
      </c>
      <c r="H65" s="19">
        <f>IF($A65="","",IF(AND($F65="",$G65=""),"",ROUND(MAX(IF($F65="",0,$F65),IF($G65="",0,$G65)),2)))</f>
        <v/>
      </c>
      <c r="I65" s="17" t="n"/>
      <c r="J65" s="20" t="n"/>
      <c r="K65" s="16" t="n"/>
      <c r="L65" s="21">
        <f>IF($A65="","",IF(COUNTIF($A$4:$A$103,$A65)&gt;1,"SKU duplicado",IF(OR($D65="",NOT(ISNUMBER($D65)),$D65&lt;=0),"Custo inválido",IF(OR($E65="",NOT(ISNUMBER($E65)),$E65&lt;0,$E65&gt;=1),"Margem mínima inválida",IF($H65="","Piso ausente",IF(OR($I65="",NOT(ISNUMBER($I65)),$I65&lt;$H65),"Teto abaixo do piso ou ausente",IF(OR($J65="",NOT(ISNUMBER($J65)),$J65&lt;=0),"Estoque-alvo inválido",IF($K65&lt;&gt;"Ativo","Produto inativo","OK"))))))))</f>
        <v/>
      </c>
    </row>
    <row r="66">
      <c r="A66" s="16" t="n"/>
      <c r="B66" s="16" t="n"/>
      <c r="C66" s="16" t="n"/>
      <c r="D66" s="17" t="n"/>
      <c r="E66" s="18" t="n"/>
      <c r="F66" s="17" t="n"/>
      <c r="G66" s="19">
        <f>IF(OR($A66="",$D66="",$E66="",$D66&lt;=0,$E66&lt;0,$E66&gt;=1),"",IFERROR(ROUND($D66/(1-$E66),2),""))</f>
        <v/>
      </c>
      <c r="H66" s="19">
        <f>IF($A66="","",IF(AND($F66="",$G66=""),"",ROUND(MAX(IF($F66="",0,$F66),IF($G66="",0,$G66)),2)))</f>
        <v/>
      </c>
      <c r="I66" s="17" t="n"/>
      <c r="J66" s="20" t="n"/>
      <c r="K66" s="16" t="n"/>
      <c r="L66" s="21">
        <f>IF($A66="","",IF(COUNTIF($A$4:$A$103,$A66)&gt;1,"SKU duplicado",IF(OR($D66="",NOT(ISNUMBER($D66)),$D66&lt;=0),"Custo inválido",IF(OR($E66="",NOT(ISNUMBER($E66)),$E66&lt;0,$E66&gt;=1),"Margem mínima inválida",IF($H66="","Piso ausente",IF(OR($I66="",NOT(ISNUMBER($I66)),$I66&lt;$H66),"Teto abaixo do piso ou ausente",IF(OR($J66="",NOT(ISNUMBER($J66)),$J66&lt;=0),"Estoque-alvo inválido",IF($K66&lt;&gt;"Ativo","Produto inativo","OK"))))))))</f>
        <v/>
      </c>
    </row>
    <row r="67">
      <c r="A67" s="16" t="n"/>
      <c r="B67" s="16" t="n"/>
      <c r="C67" s="16" t="n"/>
      <c r="D67" s="17" t="n"/>
      <c r="E67" s="18" t="n"/>
      <c r="F67" s="17" t="n"/>
      <c r="G67" s="19">
        <f>IF(OR($A67="",$D67="",$E67="",$D67&lt;=0,$E67&lt;0,$E67&gt;=1),"",IFERROR(ROUND($D67/(1-$E67),2),""))</f>
        <v/>
      </c>
      <c r="H67" s="19">
        <f>IF($A67="","",IF(AND($F67="",$G67=""),"",ROUND(MAX(IF($F67="",0,$F67),IF($G67="",0,$G67)),2)))</f>
        <v/>
      </c>
      <c r="I67" s="17" t="n"/>
      <c r="J67" s="20" t="n"/>
      <c r="K67" s="16" t="n"/>
      <c r="L67" s="21">
        <f>IF($A67="","",IF(COUNTIF($A$4:$A$103,$A67)&gt;1,"SKU duplicado",IF(OR($D67="",NOT(ISNUMBER($D67)),$D67&lt;=0),"Custo inválido",IF(OR($E67="",NOT(ISNUMBER($E67)),$E67&lt;0,$E67&gt;=1),"Margem mínima inválida",IF($H67="","Piso ausente",IF(OR($I67="",NOT(ISNUMBER($I67)),$I67&lt;$H67),"Teto abaixo do piso ou ausente",IF(OR($J67="",NOT(ISNUMBER($J67)),$J67&lt;=0),"Estoque-alvo inválido",IF($K67&lt;&gt;"Ativo","Produto inativo","OK"))))))))</f>
        <v/>
      </c>
    </row>
    <row r="68">
      <c r="A68" s="16" t="n"/>
      <c r="B68" s="16" t="n"/>
      <c r="C68" s="16" t="n"/>
      <c r="D68" s="17" t="n"/>
      <c r="E68" s="18" t="n"/>
      <c r="F68" s="17" t="n"/>
      <c r="G68" s="19">
        <f>IF(OR($A68="",$D68="",$E68="",$D68&lt;=0,$E68&lt;0,$E68&gt;=1),"",IFERROR(ROUND($D68/(1-$E68),2),""))</f>
        <v/>
      </c>
      <c r="H68" s="19">
        <f>IF($A68="","",IF(AND($F68="",$G68=""),"",ROUND(MAX(IF($F68="",0,$F68),IF($G68="",0,$G68)),2)))</f>
        <v/>
      </c>
      <c r="I68" s="17" t="n"/>
      <c r="J68" s="20" t="n"/>
      <c r="K68" s="16" t="n"/>
      <c r="L68" s="21">
        <f>IF($A68="","",IF(COUNTIF($A$4:$A$103,$A68)&gt;1,"SKU duplicado",IF(OR($D68="",NOT(ISNUMBER($D68)),$D68&lt;=0),"Custo inválido",IF(OR($E68="",NOT(ISNUMBER($E68)),$E68&lt;0,$E68&gt;=1),"Margem mínima inválida",IF($H68="","Piso ausente",IF(OR($I68="",NOT(ISNUMBER($I68)),$I68&lt;$H68),"Teto abaixo do piso ou ausente",IF(OR($J68="",NOT(ISNUMBER($J68)),$J68&lt;=0),"Estoque-alvo inválido",IF($K68&lt;&gt;"Ativo","Produto inativo","OK"))))))))</f>
        <v/>
      </c>
    </row>
    <row r="69">
      <c r="A69" s="16" t="n"/>
      <c r="B69" s="16" t="n"/>
      <c r="C69" s="16" t="n"/>
      <c r="D69" s="17" t="n"/>
      <c r="E69" s="18" t="n"/>
      <c r="F69" s="17" t="n"/>
      <c r="G69" s="19">
        <f>IF(OR($A69="",$D69="",$E69="",$D69&lt;=0,$E69&lt;0,$E69&gt;=1),"",IFERROR(ROUND($D69/(1-$E69),2),""))</f>
        <v/>
      </c>
      <c r="H69" s="19">
        <f>IF($A69="","",IF(AND($F69="",$G69=""),"",ROUND(MAX(IF($F69="",0,$F69),IF($G69="",0,$G69)),2)))</f>
        <v/>
      </c>
      <c r="I69" s="17" t="n"/>
      <c r="J69" s="20" t="n"/>
      <c r="K69" s="16" t="n"/>
      <c r="L69" s="21">
        <f>IF($A69="","",IF(COUNTIF($A$4:$A$103,$A69)&gt;1,"SKU duplicado",IF(OR($D69="",NOT(ISNUMBER($D69)),$D69&lt;=0),"Custo inválido",IF(OR($E69="",NOT(ISNUMBER($E69)),$E69&lt;0,$E69&gt;=1),"Margem mínima inválida",IF($H69="","Piso ausente",IF(OR($I69="",NOT(ISNUMBER($I69)),$I69&lt;$H69),"Teto abaixo do piso ou ausente",IF(OR($J69="",NOT(ISNUMBER($J69)),$J69&lt;=0),"Estoque-alvo inválido",IF($K69&lt;&gt;"Ativo","Produto inativo","OK"))))))))</f>
        <v/>
      </c>
    </row>
    <row r="70">
      <c r="A70" s="16" t="n"/>
      <c r="B70" s="16" t="n"/>
      <c r="C70" s="16" t="n"/>
      <c r="D70" s="17" t="n"/>
      <c r="E70" s="18" t="n"/>
      <c r="F70" s="17" t="n"/>
      <c r="G70" s="19">
        <f>IF(OR($A70="",$D70="",$E70="",$D70&lt;=0,$E70&lt;0,$E70&gt;=1),"",IFERROR(ROUND($D70/(1-$E70),2),""))</f>
        <v/>
      </c>
      <c r="H70" s="19">
        <f>IF($A70="","",IF(AND($F70="",$G70=""),"",ROUND(MAX(IF($F70="",0,$F70),IF($G70="",0,$G70)),2)))</f>
        <v/>
      </c>
      <c r="I70" s="17" t="n"/>
      <c r="J70" s="20" t="n"/>
      <c r="K70" s="16" t="n"/>
      <c r="L70" s="21">
        <f>IF($A70="","",IF(COUNTIF($A$4:$A$103,$A70)&gt;1,"SKU duplicado",IF(OR($D70="",NOT(ISNUMBER($D70)),$D70&lt;=0),"Custo inválido",IF(OR($E70="",NOT(ISNUMBER($E70)),$E70&lt;0,$E70&gt;=1),"Margem mínima inválida",IF($H70="","Piso ausente",IF(OR($I70="",NOT(ISNUMBER($I70)),$I70&lt;$H70),"Teto abaixo do piso ou ausente",IF(OR($J70="",NOT(ISNUMBER($J70)),$J70&lt;=0),"Estoque-alvo inválido",IF($K70&lt;&gt;"Ativo","Produto inativo","OK"))))))))</f>
        <v/>
      </c>
    </row>
    <row r="71">
      <c r="A71" s="16" t="n"/>
      <c r="B71" s="16" t="n"/>
      <c r="C71" s="16" t="n"/>
      <c r="D71" s="17" t="n"/>
      <c r="E71" s="18" t="n"/>
      <c r="F71" s="17" t="n"/>
      <c r="G71" s="19">
        <f>IF(OR($A71="",$D71="",$E71="",$D71&lt;=0,$E71&lt;0,$E71&gt;=1),"",IFERROR(ROUND($D71/(1-$E71),2),""))</f>
        <v/>
      </c>
      <c r="H71" s="19">
        <f>IF($A71="","",IF(AND($F71="",$G71=""),"",ROUND(MAX(IF($F71="",0,$F71),IF($G71="",0,$G71)),2)))</f>
        <v/>
      </c>
      <c r="I71" s="17" t="n"/>
      <c r="J71" s="20" t="n"/>
      <c r="K71" s="16" t="n"/>
      <c r="L71" s="21">
        <f>IF($A71="","",IF(COUNTIF($A$4:$A$103,$A71)&gt;1,"SKU duplicado",IF(OR($D71="",NOT(ISNUMBER($D71)),$D71&lt;=0),"Custo inválido",IF(OR($E71="",NOT(ISNUMBER($E71)),$E71&lt;0,$E71&gt;=1),"Margem mínima inválida",IF($H71="","Piso ausente",IF(OR($I71="",NOT(ISNUMBER($I71)),$I71&lt;$H71),"Teto abaixo do piso ou ausente",IF(OR($J71="",NOT(ISNUMBER($J71)),$J71&lt;=0),"Estoque-alvo inválido",IF($K71&lt;&gt;"Ativo","Produto inativo","OK"))))))))</f>
        <v/>
      </c>
    </row>
    <row r="72">
      <c r="A72" s="16" t="n"/>
      <c r="B72" s="16" t="n"/>
      <c r="C72" s="16" t="n"/>
      <c r="D72" s="17" t="n"/>
      <c r="E72" s="18" t="n"/>
      <c r="F72" s="17" t="n"/>
      <c r="G72" s="19">
        <f>IF(OR($A72="",$D72="",$E72="",$D72&lt;=0,$E72&lt;0,$E72&gt;=1),"",IFERROR(ROUND($D72/(1-$E72),2),""))</f>
        <v/>
      </c>
      <c r="H72" s="19">
        <f>IF($A72="","",IF(AND($F72="",$G72=""),"",ROUND(MAX(IF($F72="",0,$F72),IF($G72="",0,$G72)),2)))</f>
        <v/>
      </c>
      <c r="I72" s="17" t="n"/>
      <c r="J72" s="20" t="n"/>
      <c r="K72" s="16" t="n"/>
      <c r="L72" s="21">
        <f>IF($A72="","",IF(COUNTIF($A$4:$A$103,$A72)&gt;1,"SKU duplicado",IF(OR($D72="",NOT(ISNUMBER($D72)),$D72&lt;=0),"Custo inválido",IF(OR($E72="",NOT(ISNUMBER($E72)),$E72&lt;0,$E72&gt;=1),"Margem mínima inválida",IF($H72="","Piso ausente",IF(OR($I72="",NOT(ISNUMBER($I72)),$I72&lt;$H72),"Teto abaixo do piso ou ausente",IF(OR($J72="",NOT(ISNUMBER($J72)),$J72&lt;=0),"Estoque-alvo inválido",IF($K72&lt;&gt;"Ativo","Produto inativo","OK"))))))))</f>
        <v/>
      </c>
    </row>
    <row r="73">
      <c r="A73" s="16" t="n"/>
      <c r="B73" s="16" t="n"/>
      <c r="C73" s="16" t="n"/>
      <c r="D73" s="17" t="n"/>
      <c r="E73" s="18" t="n"/>
      <c r="F73" s="17" t="n"/>
      <c r="G73" s="19">
        <f>IF(OR($A73="",$D73="",$E73="",$D73&lt;=0,$E73&lt;0,$E73&gt;=1),"",IFERROR(ROUND($D73/(1-$E73),2),""))</f>
        <v/>
      </c>
      <c r="H73" s="19">
        <f>IF($A73="","",IF(AND($F73="",$G73=""),"",ROUND(MAX(IF($F73="",0,$F73),IF($G73="",0,$G73)),2)))</f>
        <v/>
      </c>
      <c r="I73" s="17" t="n"/>
      <c r="J73" s="20" t="n"/>
      <c r="K73" s="16" t="n"/>
      <c r="L73" s="21">
        <f>IF($A73="","",IF(COUNTIF($A$4:$A$103,$A73)&gt;1,"SKU duplicado",IF(OR($D73="",NOT(ISNUMBER($D73)),$D73&lt;=0),"Custo inválido",IF(OR($E73="",NOT(ISNUMBER($E73)),$E73&lt;0,$E73&gt;=1),"Margem mínima inválida",IF($H73="","Piso ausente",IF(OR($I73="",NOT(ISNUMBER($I73)),$I73&lt;$H73),"Teto abaixo do piso ou ausente",IF(OR($J73="",NOT(ISNUMBER($J73)),$J73&lt;=0),"Estoque-alvo inválido",IF($K73&lt;&gt;"Ativo","Produto inativo","OK"))))))))</f>
        <v/>
      </c>
    </row>
    <row r="74">
      <c r="A74" s="16" t="n"/>
      <c r="B74" s="16" t="n"/>
      <c r="C74" s="16" t="n"/>
      <c r="D74" s="17" t="n"/>
      <c r="E74" s="18" t="n"/>
      <c r="F74" s="17" t="n"/>
      <c r="G74" s="19">
        <f>IF(OR($A74="",$D74="",$E74="",$D74&lt;=0,$E74&lt;0,$E74&gt;=1),"",IFERROR(ROUND($D74/(1-$E74),2),""))</f>
        <v/>
      </c>
      <c r="H74" s="19">
        <f>IF($A74="","",IF(AND($F74="",$G74=""),"",ROUND(MAX(IF($F74="",0,$F74),IF($G74="",0,$G74)),2)))</f>
        <v/>
      </c>
      <c r="I74" s="17" t="n"/>
      <c r="J74" s="20" t="n"/>
      <c r="K74" s="16" t="n"/>
      <c r="L74" s="21">
        <f>IF($A74="","",IF(COUNTIF($A$4:$A$103,$A74)&gt;1,"SKU duplicado",IF(OR($D74="",NOT(ISNUMBER($D74)),$D74&lt;=0),"Custo inválido",IF(OR($E74="",NOT(ISNUMBER($E74)),$E74&lt;0,$E74&gt;=1),"Margem mínima inválida",IF($H74="","Piso ausente",IF(OR($I74="",NOT(ISNUMBER($I74)),$I74&lt;$H74),"Teto abaixo do piso ou ausente",IF(OR($J74="",NOT(ISNUMBER($J74)),$J74&lt;=0),"Estoque-alvo inválido",IF($K74&lt;&gt;"Ativo","Produto inativo","OK"))))))))</f>
        <v/>
      </c>
    </row>
    <row r="75">
      <c r="A75" s="16" t="n"/>
      <c r="B75" s="16" t="n"/>
      <c r="C75" s="16" t="n"/>
      <c r="D75" s="17" t="n"/>
      <c r="E75" s="18" t="n"/>
      <c r="F75" s="17" t="n"/>
      <c r="G75" s="19">
        <f>IF(OR($A75="",$D75="",$E75="",$D75&lt;=0,$E75&lt;0,$E75&gt;=1),"",IFERROR(ROUND($D75/(1-$E75),2),""))</f>
        <v/>
      </c>
      <c r="H75" s="19">
        <f>IF($A75="","",IF(AND($F75="",$G75=""),"",ROUND(MAX(IF($F75="",0,$F75),IF($G75="",0,$G75)),2)))</f>
        <v/>
      </c>
      <c r="I75" s="17" t="n"/>
      <c r="J75" s="20" t="n"/>
      <c r="K75" s="16" t="n"/>
      <c r="L75" s="21">
        <f>IF($A75="","",IF(COUNTIF($A$4:$A$103,$A75)&gt;1,"SKU duplicado",IF(OR($D75="",NOT(ISNUMBER($D75)),$D75&lt;=0),"Custo inválido",IF(OR($E75="",NOT(ISNUMBER($E75)),$E75&lt;0,$E75&gt;=1),"Margem mínima inválida",IF($H75="","Piso ausente",IF(OR($I75="",NOT(ISNUMBER($I75)),$I75&lt;$H75),"Teto abaixo do piso ou ausente",IF(OR($J75="",NOT(ISNUMBER($J75)),$J75&lt;=0),"Estoque-alvo inválido",IF($K75&lt;&gt;"Ativo","Produto inativo","OK"))))))))</f>
        <v/>
      </c>
    </row>
    <row r="76">
      <c r="A76" s="16" t="n"/>
      <c r="B76" s="16" t="n"/>
      <c r="C76" s="16" t="n"/>
      <c r="D76" s="17" t="n"/>
      <c r="E76" s="18" t="n"/>
      <c r="F76" s="17" t="n"/>
      <c r="G76" s="19">
        <f>IF(OR($A76="",$D76="",$E76="",$D76&lt;=0,$E76&lt;0,$E76&gt;=1),"",IFERROR(ROUND($D76/(1-$E76),2),""))</f>
        <v/>
      </c>
      <c r="H76" s="19">
        <f>IF($A76="","",IF(AND($F76="",$G76=""),"",ROUND(MAX(IF($F76="",0,$F76),IF($G76="",0,$G76)),2)))</f>
        <v/>
      </c>
      <c r="I76" s="17" t="n"/>
      <c r="J76" s="20" t="n"/>
      <c r="K76" s="16" t="n"/>
      <c r="L76" s="21">
        <f>IF($A76="","",IF(COUNTIF($A$4:$A$103,$A76)&gt;1,"SKU duplicado",IF(OR($D76="",NOT(ISNUMBER($D76)),$D76&lt;=0),"Custo inválido",IF(OR($E76="",NOT(ISNUMBER($E76)),$E76&lt;0,$E76&gt;=1),"Margem mínima inválida",IF($H76="","Piso ausente",IF(OR($I76="",NOT(ISNUMBER($I76)),$I76&lt;$H76),"Teto abaixo do piso ou ausente",IF(OR($J76="",NOT(ISNUMBER($J76)),$J76&lt;=0),"Estoque-alvo inválido",IF($K76&lt;&gt;"Ativo","Produto inativo","OK"))))))))</f>
        <v/>
      </c>
    </row>
    <row r="77">
      <c r="A77" s="16" t="n"/>
      <c r="B77" s="16" t="n"/>
      <c r="C77" s="16" t="n"/>
      <c r="D77" s="17" t="n"/>
      <c r="E77" s="18" t="n"/>
      <c r="F77" s="17" t="n"/>
      <c r="G77" s="19">
        <f>IF(OR($A77="",$D77="",$E77="",$D77&lt;=0,$E77&lt;0,$E77&gt;=1),"",IFERROR(ROUND($D77/(1-$E77),2),""))</f>
        <v/>
      </c>
      <c r="H77" s="19">
        <f>IF($A77="","",IF(AND($F77="",$G77=""),"",ROUND(MAX(IF($F77="",0,$F77),IF($G77="",0,$G77)),2)))</f>
        <v/>
      </c>
      <c r="I77" s="17" t="n"/>
      <c r="J77" s="20" t="n"/>
      <c r="K77" s="16" t="n"/>
      <c r="L77" s="21">
        <f>IF($A77="","",IF(COUNTIF($A$4:$A$103,$A77)&gt;1,"SKU duplicado",IF(OR($D77="",NOT(ISNUMBER($D77)),$D77&lt;=0),"Custo inválido",IF(OR($E77="",NOT(ISNUMBER($E77)),$E77&lt;0,$E77&gt;=1),"Margem mínima inválida",IF($H77="","Piso ausente",IF(OR($I77="",NOT(ISNUMBER($I77)),$I77&lt;$H77),"Teto abaixo do piso ou ausente",IF(OR($J77="",NOT(ISNUMBER($J77)),$J77&lt;=0),"Estoque-alvo inválido",IF($K77&lt;&gt;"Ativo","Produto inativo","OK"))))))))</f>
        <v/>
      </c>
    </row>
    <row r="78">
      <c r="A78" s="16" t="n"/>
      <c r="B78" s="16" t="n"/>
      <c r="C78" s="16" t="n"/>
      <c r="D78" s="17" t="n"/>
      <c r="E78" s="18" t="n"/>
      <c r="F78" s="17" t="n"/>
      <c r="G78" s="19">
        <f>IF(OR($A78="",$D78="",$E78="",$D78&lt;=0,$E78&lt;0,$E78&gt;=1),"",IFERROR(ROUND($D78/(1-$E78),2),""))</f>
        <v/>
      </c>
      <c r="H78" s="19">
        <f>IF($A78="","",IF(AND($F78="",$G78=""),"",ROUND(MAX(IF($F78="",0,$F78),IF($G78="",0,$G78)),2)))</f>
        <v/>
      </c>
      <c r="I78" s="17" t="n"/>
      <c r="J78" s="20" t="n"/>
      <c r="K78" s="16" t="n"/>
      <c r="L78" s="21">
        <f>IF($A78="","",IF(COUNTIF($A$4:$A$103,$A78)&gt;1,"SKU duplicado",IF(OR($D78="",NOT(ISNUMBER($D78)),$D78&lt;=0),"Custo inválido",IF(OR($E78="",NOT(ISNUMBER($E78)),$E78&lt;0,$E78&gt;=1),"Margem mínima inválida",IF($H78="","Piso ausente",IF(OR($I78="",NOT(ISNUMBER($I78)),$I78&lt;$H78),"Teto abaixo do piso ou ausente",IF(OR($J78="",NOT(ISNUMBER($J78)),$J78&lt;=0),"Estoque-alvo inválido",IF($K78&lt;&gt;"Ativo","Produto inativo","OK"))))))))</f>
        <v/>
      </c>
    </row>
    <row r="79">
      <c r="A79" s="16" t="n"/>
      <c r="B79" s="16" t="n"/>
      <c r="C79" s="16" t="n"/>
      <c r="D79" s="17" t="n"/>
      <c r="E79" s="18" t="n"/>
      <c r="F79" s="17" t="n"/>
      <c r="G79" s="19">
        <f>IF(OR($A79="",$D79="",$E79="",$D79&lt;=0,$E79&lt;0,$E79&gt;=1),"",IFERROR(ROUND($D79/(1-$E79),2),""))</f>
        <v/>
      </c>
      <c r="H79" s="19">
        <f>IF($A79="","",IF(AND($F79="",$G79=""),"",ROUND(MAX(IF($F79="",0,$F79),IF($G79="",0,$G79)),2)))</f>
        <v/>
      </c>
      <c r="I79" s="17" t="n"/>
      <c r="J79" s="20" t="n"/>
      <c r="K79" s="16" t="n"/>
      <c r="L79" s="21">
        <f>IF($A79="","",IF(COUNTIF($A$4:$A$103,$A79)&gt;1,"SKU duplicado",IF(OR($D79="",NOT(ISNUMBER($D79)),$D79&lt;=0),"Custo inválido",IF(OR($E79="",NOT(ISNUMBER($E79)),$E79&lt;0,$E79&gt;=1),"Margem mínima inválida",IF($H79="","Piso ausente",IF(OR($I79="",NOT(ISNUMBER($I79)),$I79&lt;$H79),"Teto abaixo do piso ou ausente",IF(OR($J79="",NOT(ISNUMBER($J79)),$J79&lt;=0),"Estoque-alvo inválido",IF($K79&lt;&gt;"Ativo","Produto inativo","OK"))))))))</f>
        <v/>
      </c>
    </row>
    <row r="80">
      <c r="A80" s="16" t="n"/>
      <c r="B80" s="16" t="n"/>
      <c r="C80" s="16" t="n"/>
      <c r="D80" s="17" t="n"/>
      <c r="E80" s="18" t="n"/>
      <c r="F80" s="17" t="n"/>
      <c r="G80" s="19">
        <f>IF(OR($A80="",$D80="",$E80="",$D80&lt;=0,$E80&lt;0,$E80&gt;=1),"",IFERROR(ROUND($D80/(1-$E80),2),""))</f>
        <v/>
      </c>
      <c r="H80" s="19">
        <f>IF($A80="","",IF(AND($F80="",$G80=""),"",ROUND(MAX(IF($F80="",0,$F80),IF($G80="",0,$G80)),2)))</f>
        <v/>
      </c>
      <c r="I80" s="17" t="n"/>
      <c r="J80" s="20" t="n"/>
      <c r="K80" s="16" t="n"/>
      <c r="L80" s="21">
        <f>IF($A80="","",IF(COUNTIF($A$4:$A$103,$A80)&gt;1,"SKU duplicado",IF(OR($D80="",NOT(ISNUMBER($D80)),$D80&lt;=0),"Custo inválido",IF(OR($E80="",NOT(ISNUMBER($E80)),$E80&lt;0,$E80&gt;=1),"Margem mínima inválida",IF($H80="","Piso ausente",IF(OR($I80="",NOT(ISNUMBER($I80)),$I80&lt;$H80),"Teto abaixo do piso ou ausente",IF(OR($J80="",NOT(ISNUMBER($J80)),$J80&lt;=0),"Estoque-alvo inválido",IF($K80&lt;&gt;"Ativo","Produto inativo","OK"))))))))</f>
        <v/>
      </c>
    </row>
    <row r="81">
      <c r="A81" s="16" t="n"/>
      <c r="B81" s="16" t="n"/>
      <c r="C81" s="16" t="n"/>
      <c r="D81" s="17" t="n"/>
      <c r="E81" s="18" t="n"/>
      <c r="F81" s="17" t="n"/>
      <c r="G81" s="19">
        <f>IF(OR($A81="",$D81="",$E81="",$D81&lt;=0,$E81&lt;0,$E81&gt;=1),"",IFERROR(ROUND($D81/(1-$E81),2),""))</f>
        <v/>
      </c>
      <c r="H81" s="19">
        <f>IF($A81="","",IF(AND($F81="",$G81=""),"",ROUND(MAX(IF($F81="",0,$F81),IF($G81="",0,$G81)),2)))</f>
        <v/>
      </c>
      <c r="I81" s="17" t="n"/>
      <c r="J81" s="20" t="n"/>
      <c r="K81" s="16" t="n"/>
      <c r="L81" s="21">
        <f>IF($A81="","",IF(COUNTIF($A$4:$A$103,$A81)&gt;1,"SKU duplicado",IF(OR($D81="",NOT(ISNUMBER($D81)),$D81&lt;=0),"Custo inválido",IF(OR($E81="",NOT(ISNUMBER($E81)),$E81&lt;0,$E81&gt;=1),"Margem mínima inválida",IF($H81="","Piso ausente",IF(OR($I81="",NOT(ISNUMBER($I81)),$I81&lt;$H81),"Teto abaixo do piso ou ausente",IF(OR($J81="",NOT(ISNUMBER($J81)),$J81&lt;=0),"Estoque-alvo inválido",IF($K81&lt;&gt;"Ativo","Produto inativo","OK"))))))))</f>
        <v/>
      </c>
    </row>
    <row r="82">
      <c r="A82" s="16" t="n"/>
      <c r="B82" s="16" t="n"/>
      <c r="C82" s="16" t="n"/>
      <c r="D82" s="17" t="n"/>
      <c r="E82" s="18" t="n"/>
      <c r="F82" s="17" t="n"/>
      <c r="G82" s="19">
        <f>IF(OR($A82="",$D82="",$E82="",$D82&lt;=0,$E82&lt;0,$E82&gt;=1),"",IFERROR(ROUND($D82/(1-$E82),2),""))</f>
        <v/>
      </c>
      <c r="H82" s="19">
        <f>IF($A82="","",IF(AND($F82="",$G82=""),"",ROUND(MAX(IF($F82="",0,$F82),IF($G82="",0,$G82)),2)))</f>
        <v/>
      </c>
      <c r="I82" s="17" t="n"/>
      <c r="J82" s="20" t="n"/>
      <c r="K82" s="16" t="n"/>
      <c r="L82" s="21">
        <f>IF($A82="","",IF(COUNTIF($A$4:$A$103,$A82)&gt;1,"SKU duplicado",IF(OR($D82="",NOT(ISNUMBER($D82)),$D82&lt;=0),"Custo inválido",IF(OR($E82="",NOT(ISNUMBER($E82)),$E82&lt;0,$E82&gt;=1),"Margem mínima inválida",IF($H82="","Piso ausente",IF(OR($I82="",NOT(ISNUMBER($I82)),$I82&lt;$H82),"Teto abaixo do piso ou ausente",IF(OR($J82="",NOT(ISNUMBER($J82)),$J82&lt;=0),"Estoque-alvo inválido",IF($K82&lt;&gt;"Ativo","Produto inativo","OK"))))))))</f>
        <v/>
      </c>
    </row>
    <row r="83">
      <c r="A83" s="16" t="n"/>
      <c r="B83" s="16" t="n"/>
      <c r="C83" s="16" t="n"/>
      <c r="D83" s="17" t="n"/>
      <c r="E83" s="18" t="n"/>
      <c r="F83" s="17" t="n"/>
      <c r="G83" s="19">
        <f>IF(OR($A83="",$D83="",$E83="",$D83&lt;=0,$E83&lt;0,$E83&gt;=1),"",IFERROR(ROUND($D83/(1-$E83),2),""))</f>
        <v/>
      </c>
      <c r="H83" s="19">
        <f>IF($A83="","",IF(AND($F83="",$G83=""),"",ROUND(MAX(IF($F83="",0,$F83),IF($G83="",0,$G83)),2)))</f>
        <v/>
      </c>
      <c r="I83" s="17" t="n"/>
      <c r="J83" s="20" t="n"/>
      <c r="K83" s="16" t="n"/>
      <c r="L83" s="21">
        <f>IF($A83="","",IF(COUNTIF($A$4:$A$103,$A83)&gt;1,"SKU duplicado",IF(OR($D83="",NOT(ISNUMBER($D83)),$D83&lt;=0),"Custo inválido",IF(OR($E83="",NOT(ISNUMBER($E83)),$E83&lt;0,$E83&gt;=1),"Margem mínima inválida",IF($H83="","Piso ausente",IF(OR($I83="",NOT(ISNUMBER($I83)),$I83&lt;$H83),"Teto abaixo do piso ou ausente",IF(OR($J83="",NOT(ISNUMBER($J83)),$J83&lt;=0),"Estoque-alvo inválido",IF($K83&lt;&gt;"Ativo","Produto inativo","OK"))))))))</f>
        <v/>
      </c>
    </row>
    <row r="84">
      <c r="A84" s="16" t="n"/>
      <c r="B84" s="16" t="n"/>
      <c r="C84" s="16" t="n"/>
      <c r="D84" s="17" t="n"/>
      <c r="E84" s="18" t="n"/>
      <c r="F84" s="17" t="n"/>
      <c r="G84" s="19">
        <f>IF(OR($A84="",$D84="",$E84="",$D84&lt;=0,$E84&lt;0,$E84&gt;=1),"",IFERROR(ROUND($D84/(1-$E84),2),""))</f>
        <v/>
      </c>
      <c r="H84" s="19">
        <f>IF($A84="","",IF(AND($F84="",$G84=""),"",ROUND(MAX(IF($F84="",0,$F84),IF($G84="",0,$G84)),2)))</f>
        <v/>
      </c>
      <c r="I84" s="17" t="n"/>
      <c r="J84" s="20" t="n"/>
      <c r="K84" s="16" t="n"/>
      <c r="L84" s="21">
        <f>IF($A84="","",IF(COUNTIF($A$4:$A$103,$A84)&gt;1,"SKU duplicado",IF(OR($D84="",NOT(ISNUMBER($D84)),$D84&lt;=0),"Custo inválido",IF(OR($E84="",NOT(ISNUMBER($E84)),$E84&lt;0,$E84&gt;=1),"Margem mínima inválida",IF($H84="","Piso ausente",IF(OR($I84="",NOT(ISNUMBER($I84)),$I84&lt;$H84),"Teto abaixo do piso ou ausente",IF(OR($J84="",NOT(ISNUMBER($J84)),$J84&lt;=0),"Estoque-alvo inválido",IF($K84&lt;&gt;"Ativo","Produto inativo","OK"))))))))</f>
        <v/>
      </c>
    </row>
    <row r="85">
      <c r="A85" s="16" t="n"/>
      <c r="B85" s="16" t="n"/>
      <c r="C85" s="16" t="n"/>
      <c r="D85" s="17" t="n"/>
      <c r="E85" s="18" t="n"/>
      <c r="F85" s="17" t="n"/>
      <c r="G85" s="19">
        <f>IF(OR($A85="",$D85="",$E85="",$D85&lt;=0,$E85&lt;0,$E85&gt;=1),"",IFERROR(ROUND($D85/(1-$E85),2),""))</f>
        <v/>
      </c>
      <c r="H85" s="19">
        <f>IF($A85="","",IF(AND($F85="",$G85=""),"",ROUND(MAX(IF($F85="",0,$F85),IF($G85="",0,$G85)),2)))</f>
        <v/>
      </c>
      <c r="I85" s="17" t="n"/>
      <c r="J85" s="20" t="n"/>
      <c r="K85" s="16" t="n"/>
      <c r="L85" s="21">
        <f>IF($A85="","",IF(COUNTIF($A$4:$A$103,$A85)&gt;1,"SKU duplicado",IF(OR($D85="",NOT(ISNUMBER($D85)),$D85&lt;=0),"Custo inválido",IF(OR($E85="",NOT(ISNUMBER($E85)),$E85&lt;0,$E85&gt;=1),"Margem mínima inválida",IF($H85="","Piso ausente",IF(OR($I85="",NOT(ISNUMBER($I85)),$I85&lt;$H85),"Teto abaixo do piso ou ausente",IF(OR($J85="",NOT(ISNUMBER($J85)),$J85&lt;=0),"Estoque-alvo inválido",IF($K85&lt;&gt;"Ativo","Produto inativo","OK"))))))))</f>
        <v/>
      </c>
    </row>
    <row r="86">
      <c r="A86" s="16" t="n"/>
      <c r="B86" s="16" t="n"/>
      <c r="C86" s="16" t="n"/>
      <c r="D86" s="17" t="n"/>
      <c r="E86" s="18" t="n"/>
      <c r="F86" s="17" t="n"/>
      <c r="G86" s="19">
        <f>IF(OR($A86="",$D86="",$E86="",$D86&lt;=0,$E86&lt;0,$E86&gt;=1),"",IFERROR(ROUND($D86/(1-$E86),2),""))</f>
        <v/>
      </c>
      <c r="H86" s="19">
        <f>IF($A86="","",IF(AND($F86="",$G86=""),"",ROUND(MAX(IF($F86="",0,$F86),IF($G86="",0,$G86)),2)))</f>
        <v/>
      </c>
      <c r="I86" s="17" t="n"/>
      <c r="J86" s="20" t="n"/>
      <c r="K86" s="16" t="n"/>
      <c r="L86" s="21">
        <f>IF($A86="","",IF(COUNTIF($A$4:$A$103,$A86)&gt;1,"SKU duplicado",IF(OR($D86="",NOT(ISNUMBER($D86)),$D86&lt;=0),"Custo inválido",IF(OR($E86="",NOT(ISNUMBER($E86)),$E86&lt;0,$E86&gt;=1),"Margem mínima inválida",IF($H86="","Piso ausente",IF(OR($I86="",NOT(ISNUMBER($I86)),$I86&lt;$H86),"Teto abaixo do piso ou ausente",IF(OR($J86="",NOT(ISNUMBER($J86)),$J86&lt;=0),"Estoque-alvo inválido",IF($K86&lt;&gt;"Ativo","Produto inativo","OK"))))))))</f>
        <v/>
      </c>
    </row>
    <row r="87">
      <c r="A87" s="16" t="n"/>
      <c r="B87" s="16" t="n"/>
      <c r="C87" s="16" t="n"/>
      <c r="D87" s="17" t="n"/>
      <c r="E87" s="18" t="n"/>
      <c r="F87" s="17" t="n"/>
      <c r="G87" s="19">
        <f>IF(OR($A87="",$D87="",$E87="",$D87&lt;=0,$E87&lt;0,$E87&gt;=1),"",IFERROR(ROUND($D87/(1-$E87),2),""))</f>
        <v/>
      </c>
      <c r="H87" s="19">
        <f>IF($A87="","",IF(AND($F87="",$G87=""),"",ROUND(MAX(IF($F87="",0,$F87),IF($G87="",0,$G87)),2)))</f>
        <v/>
      </c>
      <c r="I87" s="17" t="n"/>
      <c r="J87" s="20" t="n"/>
      <c r="K87" s="16" t="n"/>
      <c r="L87" s="21">
        <f>IF($A87="","",IF(COUNTIF($A$4:$A$103,$A87)&gt;1,"SKU duplicado",IF(OR($D87="",NOT(ISNUMBER($D87)),$D87&lt;=0),"Custo inválido",IF(OR($E87="",NOT(ISNUMBER($E87)),$E87&lt;0,$E87&gt;=1),"Margem mínima inválida",IF($H87="","Piso ausente",IF(OR($I87="",NOT(ISNUMBER($I87)),$I87&lt;$H87),"Teto abaixo do piso ou ausente",IF(OR($J87="",NOT(ISNUMBER($J87)),$J87&lt;=0),"Estoque-alvo inválido",IF($K87&lt;&gt;"Ativo","Produto inativo","OK"))))))))</f>
        <v/>
      </c>
    </row>
    <row r="88">
      <c r="A88" s="16" t="n"/>
      <c r="B88" s="16" t="n"/>
      <c r="C88" s="16" t="n"/>
      <c r="D88" s="17" t="n"/>
      <c r="E88" s="18" t="n"/>
      <c r="F88" s="17" t="n"/>
      <c r="G88" s="19">
        <f>IF(OR($A88="",$D88="",$E88="",$D88&lt;=0,$E88&lt;0,$E88&gt;=1),"",IFERROR(ROUND($D88/(1-$E88),2),""))</f>
        <v/>
      </c>
      <c r="H88" s="19">
        <f>IF($A88="","",IF(AND($F88="",$G88=""),"",ROUND(MAX(IF($F88="",0,$F88),IF($G88="",0,$G88)),2)))</f>
        <v/>
      </c>
      <c r="I88" s="17" t="n"/>
      <c r="J88" s="20" t="n"/>
      <c r="K88" s="16" t="n"/>
      <c r="L88" s="21">
        <f>IF($A88="","",IF(COUNTIF($A$4:$A$103,$A88)&gt;1,"SKU duplicado",IF(OR($D88="",NOT(ISNUMBER($D88)),$D88&lt;=0),"Custo inválido",IF(OR($E88="",NOT(ISNUMBER($E88)),$E88&lt;0,$E88&gt;=1),"Margem mínima inválida",IF($H88="","Piso ausente",IF(OR($I88="",NOT(ISNUMBER($I88)),$I88&lt;$H88),"Teto abaixo do piso ou ausente",IF(OR($J88="",NOT(ISNUMBER($J88)),$J88&lt;=0),"Estoque-alvo inválido",IF($K88&lt;&gt;"Ativo","Produto inativo","OK"))))))))</f>
        <v/>
      </c>
    </row>
    <row r="89">
      <c r="A89" s="16" t="n"/>
      <c r="B89" s="16" t="n"/>
      <c r="C89" s="16" t="n"/>
      <c r="D89" s="17" t="n"/>
      <c r="E89" s="18" t="n"/>
      <c r="F89" s="17" t="n"/>
      <c r="G89" s="19">
        <f>IF(OR($A89="",$D89="",$E89="",$D89&lt;=0,$E89&lt;0,$E89&gt;=1),"",IFERROR(ROUND($D89/(1-$E89),2),""))</f>
        <v/>
      </c>
      <c r="H89" s="19">
        <f>IF($A89="","",IF(AND($F89="",$G89=""),"",ROUND(MAX(IF($F89="",0,$F89),IF($G89="",0,$G89)),2)))</f>
        <v/>
      </c>
      <c r="I89" s="17" t="n"/>
      <c r="J89" s="20" t="n"/>
      <c r="K89" s="16" t="n"/>
      <c r="L89" s="21">
        <f>IF($A89="","",IF(COUNTIF($A$4:$A$103,$A89)&gt;1,"SKU duplicado",IF(OR($D89="",NOT(ISNUMBER($D89)),$D89&lt;=0),"Custo inválido",IF(OR($E89="",NOT(ISNUMBER($E89)),$E89&lt;0,$E89&gt;=1),"Margem mínima inválida",IF($H89="","Piso ausente",IF(OR($I89="",NOT(ISNUMBER($I89)),$I89&lt;$H89),"Teto abaixo do piso ou ausente",IF(OR($J89="",NOT(ISNUMBER($J89)),$J89&lt;=0),"Estoque-alvo inválido",IF($K89&lt;&gt;"Ativo","Produto inativo","OK"))))))))</f>
        <v/>
      </c>
    </row>
    <row r="90">
      <c r="A90" s="16" t="n"/>
      <c r="B90" s="16" t="n"/>
      <c r="C90" s="16" t="n"/>
      <c r="D90" s="17" t="n"/>
      <c r="E90" s="18" t="n"/>
      <c r="F90" s="17" t="n"/>
      <c r="G90" s="19">
        <f>IF(OR($A90="",$D90="",$E90="",$D90&lt;=0,$E90&lt;0,$E90&gt;=1),"",IFERROR(ROUND($D90/(1-$E90),2),""))</f>
        <v/>
      </c>
      <c r="H90" s="19">
        <f>IF($A90="","",IF(AND($F90="",$G90=""),"",ROUND(MAX(IF($F90="",0,$F90),IF($G90="",0,$G90)),2)))</f>
        <v/>
      </c>
      <c r="I90" s="17" t="n"/>
      <c r="J90" s="20" t="n"/>
      <c r="K90" s="16" t="n"/>
      <c r="L90" s="21">
        <f>IF($A90="","",IF(COUNTIF($A$4:$A$103,$A90)&gt;1,"SKU duplicado",IF(OR($D90="",NOT(ISNUMBER($D90)),$D90&lt;=0),"Custo inválido",IF(OR($E90="",NOT(ISNUMBER($E90)),$E90&lt;0,$E90&gt;=1),"Margem mínima inválida",IF($H90="","Piso ausente",IF(OR($I90="",NOT(ISNUMBER($I90)),$I90&lt;$H90),"Teto abaixo do piso ou ausente",IF(OR($J90="",NOT(ISNUMBER($J90)),$J90&lt;=0),"Estoque-alvo inválido",IF($K90&lt;&gt;"Ativo","Produto inativo","OK"))))))))</f>
        <v/>
      </c>
    </row>
    <row r="91">
      <c r="A91" s="16" t="n"/>
      <c r="B91" s="16" t="n"/>
      <c r="C91" s="16" t="n"/>
      <c r="D91" s="17" t="n"/>
      <c r="E91" s="18" t="n"/>
      <c r="F91" s="17" t="n"/>
      <c r="G91" s="19">
        <f>IF(OR($A91="",$D91="",$E91="",$D91&lt;=0,$E91&lt;0,$E91&gt;=1),"",IFERROR(ROUND($D91/(1-$E91),2),""))</f>
        <v/>
      </c>
      <c r="H91" s="19">
        <f>IF($A91="","",IF(AND($F91="",$G91=""),"",ROUND(MAX(IF($F91="",0,$F91),IF($G91="",0,$G91)),2)))</f>
        <v/>
      </c>
      <c r="I91" s="17" t="n"/>
      <c r="J91" s="20" t="n"/>
      <c r="K91" s="16" t="n"/>
      <c r="L91" s="21">
        <f>IF($A91="","",IF(COUNTIF($A$4:$A$103,$A91)&gt;1,"SKU duplicado",IF(OR($D91="",NOT(ISNUMBER($D91)),$D91&lt;=0),"Custo inválido",IF(OR($E91="",NOT(ISNUMBER($E91)),$E91&lt;0,$E91&gt;=1),"Margem mínima inválida",IF($H91="","Piso ausente",IF(OR($I91="",NOT(ISNUMBER($I91)),$I91&lt;$H91),"Teto abaixo do piso ou ausente",IF(OR($J91="",NOT(ISNUMBER($J91)),$J91&lt;=0),"Estoque-alvo inválido",IF($K91&lt;&gt;"Ativo","Produto inativo","OK"))))))))</f>
        <v/>
      </c>
    </row>
    <row r="92">
      <c r="A92" s="16" t="n"/>
      <c r="B92" s="16" t="n"/>
      <c r="C92" s="16" t="n"/>
      <c r="D92" s="17" t="n"/>
      <c r="E92" s="18" t="n"/>
      <c r="F92" s="17" t="n"/>
      <c r="G92" s="19">
        <f>IF(OR($A92="",$D92="",$E92="",$D92&lt;=0,$E92&lt;0,$E92&gt;=1),"",IFERROR(ROUND($D92/(1-$E92),2),""))</f>
        <v/>
      </c>
      <c r="H92" s="19">
        <f>IF($A92="","",IF(AND($F92="",$G92=""),"",ROUND(MAX(IF($F92="",0,$F92),IF($G92="",0,$G92)),2)))</f>
        <v/>
      </c>
      <c r="I92" s="17" t="n"/>
      <c r="J92" s="20" t="n"/>
      <c r="K92" s="16" t="n"/>
      <c r="L92" s="21">
        <f>IF($A92="","",IF(COUNTIF($A$4:$A$103,$A92)&gt;1,"SKU duplicado",IF(OR($D92="",NOT(ISNUMBER($D92)),$D92&lt;=0),"Custo inválido",IF(OR($E92="",NOT(ISNUMBER($E92)),$E92&lt;0,$E92&gt;=1),"Margem mínima inválida",IF($H92="","Piso ausente",IF(OR($I92="",NOT(ISNUMBER($I92)),$I92&lt;$H92),"Teto abaixo do piso ou ausente",IF(OR($J92="",NOT(ISNUMBER($J92)),$J92&lt;=0),"Estoque-alvo inválido",IF($K92&lt;&gt;"Ativo","Produto inativo","OK"))))))))</f>
        <v/>
      </c>
    </row>
    <row r="93">
      <c r="A93" s="16" t="n"/>
      <c r="B93" s="16" t="n"/>
      <c r="C93" s="16" t="n"/>
      <c r="D93" s="17" t="n"/>
      <c r="E93" s="18" t="n"/>
      <c r="F93" s="17" t="n"/>
      <c r="G93" s="19">
        <f>IF(OR($A93="",$D93="",$E93="",$D93&lt;=0,$E93&lt;0,$E93&gt;=1),"",IFERROR(ROUND($D93/(1-$E93),2),""))</f>
        <v/>
      </c>
      <c r="H93" s="19">
        <f>IF($A93="","",IF(AND($F93="",$G93=""),"",ROUND(MAX(IF($F93="",0,$F93),IF($G93="",0,$G93)),2)))</f>
        <v/>
      </c>
      <c r="I93" s="17" t="n"/>
      <c r="J93" s="20" t="n"/>
      <c r="K93" s="16" t="n"/>
      <c r="L93" s="21">
        <f>IF($A93="","",IF(COUNTIF($A$4:$A$103,$A93)&gt;1,"SKU duplicado",IF(OR($D93="",NOT(ISNUMBER($D93)),$D93&lt;=0),"Custo inválido",IF(OR($E93="",NOT(ISNUMBER($E93)),$E93&lt;0,$E93&gt;=1),"Margem mínima inválida",IF($H93="","Piso ausente",IF(OR($I93="",NOT(ISNUMBER($I93)),$I93&lt;$H93),"Teto abaixo do piso ou ausente",IF(OR($J93="",NOT(ISNUMBER($J93)),$J93&lt;=0),"Estoque-alvo inválido",IF($K93&lt;&gt;"Ativo","Produto inativo","OK"))))))))</f>
        <v/>
      </c>
    </row>
    <row r="94">
      <c r="A94" s="16" t="n"/>
      <c r="B94" s="16" t="n"/>
      <c r="C94" s="16" t="n"/>
      <c r="D94" s="17" t="n"/>
      <c r="E94" s="18" t="n"/>
      <c r="F94" s="17" t="n"/>
      <c r="G94" s="19">
        <f>IF(OR($A94="",$D94="",$E94="",$D94&lt;=0,$E94&lt;0,$E94&gt;=1),"",IFERROR(ROUND($D94/(1-$E94),2),""))</f>
        <v/>
      </c>
      <c r="H94" s="19">
        <f>IF($A94="","",IF(AND($F94="",$G94=""),"",ROUND(MAX(IF($F94="",0,$F94),IF($G94="",0,$G94)),2)))</f>
        <v/>
      </c>
      <c r="I94" s="17" t="n"/>
      <c r="J94" s="20" t="n"/>
      <c r="K94" s="16" t="n"/>
      <c r="L94" s="21">
        <f>IF($A94="","",IF(COUNTIF($A$4:$A$103,$A94)&gt;1,"SKU duplicado",IF(OR($D94="",NOT(ISNUMBER($D94)),$D94&lt;=0),"Custo inválido",IF(OR($E94="",NOT(ISNUMBER($E94)),$E94&lt;0,$E94&gt;=1),"Margem mínima inválida",IF($H94="","Piso ausente",IF(OR($I94="",NOT(ISNUMBER($I94)),$I94&lt;$H94),"Teto abaixo do piso ou ausente",IF(OR($J94="",NOT(ISNUMBER($J94)),$J94&lt;=0),"Estoque-alvo inválido",IF($K94&lt;&gt;"Ativo","Produto inativo","OK"))))))))</f>
        <v/>
      </c>
    </row>
    <row r="95">
      <c r="A95" s="16" t="n"/>
      <c r="B95" s="16" t="n"/>
      <c r="C95" s="16" t="n"/>
      <c r="D95" s="17" t="n"/>
      <c r="E95" s="18" t="n"/>
      <c r="F95" s="17" t="n"/>
      <c r="G95" s="19">
        <f>IF(OR($A95="",$D95="",$E95="",$D95&lt;=0,$E95&lt;0,$E95&gt;=1),"",IFERROR(ROUND($D95/(1-$E95),2),""))</f>
        <v/>
      </c>
      <c r="H95" s="19">
        <f>IF($A95="","",IF(AND($F95="",$G95=""),"",ROUND(MAX(IF($F95="",0,$F95),IF($G95="",0,$G95)),2)))</f>
        <v/>
      </c>
      <c r="I95" s="17" t="n"/>
      <c r="J95" s="20" t="n"/>
      <c r="K95" s="16" t="n"/>
      <c r="L95" s="21">
        <f>IF($A95="","",IF(COUNTIF($A$4:$A$103,$A95)&gt;1,"SKU duplicado",IF(OR($D95="",NOT(ISNUMBER($D95)),$D95&lt;=0),"Custo inválido",IF(OR($E95="",NOT(ISNUMBER($E95)),$E95&lt;0,$E95&gt;=1),"Margem mínima inválida",IF($H95="","Piso ausente",IF(OR($I95="",NOT(ISNUMBER($I95)),$I95&lt;$H95),"Teto abaixo do piso ou ausente",IF(OR($J95="",NOT(ISNUMBER($J95)),$J95&lt;=0),"Estoque-alvo inválido",IF($K95&lt;&gt;"Ativo","Produto inativo","OK"))))))))</f>
        <v/>
      </c>
    </row>
    <row r="96">
      <c r="A96" s="16" t="n"/>
      <c r="B96" s="16" t="n"/>
      <c r="C96" s="16" t="n"/>
      <c r="D96" s="17" t="n"/>
      <c r="E96" s="18" t="n"/>
      <c r="F96" s="17" t="n"/>
      <c r="G96" s="19">
        <f>IF(OR($A96="",$D96="",$E96="",$D96&lt;=0,$E96&lt;0,$E96&gt;=1),"",IFERROR(ROUND($D96/(1-$E96),2),""))</f>
        <v/>
      </c>
      <c r="H96" s="19">
        <f>IF($A96="","",IF(AND($F96="",$G96=""),"",ROUND(MAX(IF($F96="",0,$F96),IF($G96="",0,$G96)),2)))</f>
        <v/>
      </c>
      <c r="I96" s="17" t="n"/>
      <c r="J96" s="20" t="n"/>
      <c r="K96" s="16" t="n"/>
      <c r="L96" s="21">
        <f>IF($A96="","",IF(COUNTIF($A$4:$A$103,$A96)&gt;1,"SKU duplicado",IF(OR($D96="",NOT(ISNUMBER($D96)),$D96&lt;=0),"Custo inválido",IF(OR($E96="",NOT(ISNUMBER($E96)),$E96&lt;0,$E96&gt;=1),"Margem mínima inválida",IF($H96="","Piso ausente",IF(OR($I96="",NOT(ISNUMBER($I96)),$I96&lt;$H96),"Teto abaixo do piso ou ausente",IF(OR($J96="",NOT(ISNUMBER($J96)),$J96&lt;=0),"Estoque-alvo inválido",IF($K96&lt;&gt;"Ativo","Produto inativo","OK"))))))))</f>
        <v/>
      </c>
    </row>
    <row r="97">
      <c r="A97" s="16" t="n"/>
      <c r="B97" s="16" t="n"/>
      <c r="C97" s="16" t="n"/>
      <c r="D97" s="17" t="n"/>
      <c r="E97" s="18" t="n"/>
      <c r="F97" s="17" t="n"/>
      <c r="G97" s="19">
        <f>IF(OR($A97="",$D97="",$E97="",$D97&lt;=0,$E97&lt;0,$E97&gt;=1),"",IFERROR(ROUND($D97/(1-$E97),2),""))</f>
        <v/>
      </c>
      <c r="H97" s="19">
        <f>IF($A97="","",IF(AND($F97="",$G97=""),"",ROUND(MAX(IF($F97="",0,$F97),IF($G97="",0,$G97)),2)))</f>
        <v/>
      </c>
      <c r="I97" s="17" t="n"/>
      <c r="J97" s="20" t="n"/>
      <c r="K97" s="16" t="n"/>
      <c r="L97" s="21">
        <f>IF($A97="","",IF(COUNTIF($A$4:$A$103,$A97)&gt;1,"SKU duplicado",IF(OR($D97="",NOT(ISNUMBER($D97)),$D97&lt;=0),"Custo inválido",IF(OR($E97="",NOT(ISNUMBER($E97)),$E97&lt;0,$E97&gt;=1),"Margem mínima inválida",IF($H97="","Piso ausente",IF(OR($I97="",NOT(ISNUMBER($I97)),$I97&lt;$H97),"Teto abaixo do piso ou ausente",IF(OR($J97="",NOT(ISNUMBER($J97)),$J97&lt;=0),"Estoque-alvo inválido",IF($K97&lt;&gt;"Ativo","Produto inativo","OK"))))))))</f>
        <v/>
      </c>
    </row>
    <row r="98">
      <c r="A98" s="16" t="n"/>
      <c r="B98" s="16" t="n"/>
      <c r="C98" s="16" t="n"/>
      <c r="D98" s="17" t="n"/>
      <c r="E98" s="18" t="n"/>
      <c r="F98" s="17" t="n"/>
      <c r="G98" s="19">
        <f>IF(OR($A98="",$D98="",$E98="",$D98&lt;=0,$E98&lt;0,$E98&gt;=1),"",IFERROR(ROUND($D98/(1-$E98),2),""))</f>
        <v/>
      </c>
      <c r="H98" s="19">
        <f>IF($A98="","",IF(AND($F98="",$G98=""),"",ROUND(MAX(IF($F98="",0,$F98),IF($G98="",0,$G98)),2)))</f>
        <v/>
      </c>
      <c r="I98" s="17" t="n"/>
      <c r="J98" s="20" t="n"/>
      <c r="K98" s="16" t="n"/>
      <c r="L98" s="21">
        <f>IF($A98="","",IF(COUNTIF($A$4:$A$103,$A98)&gt;1,"SKU duplicado",IF(OR($D98="",NOT(ISNUMBER($D98)),$D98&lt;=0),"Custo inválido",IF(OR($E98="",NOT(ISNUMBER($E98)),$E98&lt;0,$E98&gt;=1),"Margem mínima inválida",IF($H98="","Piso ausente",IF(OR($I98="",NOT(ISNUMBER($I98)),$I98&lt;$H98),"Teto abaixo do piso ou ausente",IF(OR($J98="",NOT(ISNUMBER($J98)),$J98&lt;=0),"Estoque-alvo inválido",IF($K98&lt;&gt;"Ativo","Produto inativo","OK"))))))))</f>
        <v/>
      </c>
    </row>
    <row r="99">
      <c r="A99" s="16" t="n"/>
      <c r="B99" s="16" t="n"/>
      <c r="C99" s="16" t="n"/>
      <c r="D99" s="17" t="n"/>
      <c r="E99" s="18" t="n"/>
      <c r="F99" s="17" t="n"/>
      <c r="G99" s="19">
        <f>IF(OR($A99="",$D99="",$E99="",$D99&lt;=0,$E99&lt;0,$E99&gt;=1),"",IFERROR(ROUND($D99/(1-$E99),2),""))</f>
        <v/>
      </c>
      <c r="H99" s="19">
        <f>IF($A99="","",IF(AND($F99="",$G99=""),"",ROUND(MAX(IF($F99="",0,$F99),IF($G99="",0,$G99)),2)))</f>
        <v/>
      </c>
      <c r="I99" s="17" t="n"/>
      <c r="J99" s="20" t="n"/>
      <c r="K99" s="16" t="n"/>
      <c r="L99" s="21">
        <f>IF($A99="","",IF(COUNTIF($A$4:$A$103,$A99)&gt;1,"SKU duplicado",IF(OR($D99="",NOT(ISNUMBER($D99)),$D99&lt;=0),"Custo inválido",IF(OR($E99="",NOT(ISNUMBER($E99)),$E99&lt;0,$E99&gt;=1),"Margem mínima inválida",IF($H99="","Piso ausente",IF(OR($I99="",NOT(ISNUMBER($I99)),$I99&lt;$H99),"Teto abaixo do piso ou ausente",IF(OR($J99="",NOT(ISNUMBER($J99)),$J99&lt;=0),"Estoque-alvo inválido",IF($K99&lt;&gt;"Ativo","Produto inativo","OK"))))))))</f>
        <v/>
      </c>
    </row>
    <row r="100">
      <c r="A100" s="16" t="n"/>
      <c r="B100" s="16" t="n"/>
      <c r="C100" s="16" t="n"/>
      <c r="D100" s="17" t="n"/>
      <c r="E100" s="18" t="n"/>
      <c r="F100" s="17" t="n"/>
      <c r="G100" s="19">
        <f>IF(OR($A100="",$D100="",$E100="",$D100&lt;=0,$E100&lt;0,$E100&gt;=1),"",IFERROR(ROUND($D100/(1-$E100),2),""))</f>
        <v/>
      </c>
      <c r="H100" s="19">
        <f>IF($A100="","",IF(AND($F100="",$G100=""),"",ROUND(MAX(IF($F100="",0,$F100),IF($G100="",0,$G100)),2)))</f>
        <v/>
      </c>
      <c r="I100" s="17" t="n"/>
      <c r="J100" s="20" t="n"/>
      <c r="K100" s="16" t="n"/>
      <c r="L100" s="21">
        <f>IF($A100="","",IF(COUNTIF($A$4:$A$103,$A100)&gt;1,"SKU duplicado",IF(OR($D100="",NOT(ISNUMBER($D100)),$D100&lt;=0),"Custo inválido",IF(OR($E100="",NOT(ISNUMBER($E100)),$E100&lt;0,$E100&gt;=1),"Margem mínima inválida",IF($H100="","Piso ausente",IF(OR($I100="",NOT(ISNUMBER($I100)),$I100&lt;$H100),"Teto abaixo do piso ou ausente",IF(OR($J100="",NOT(ISNUMBER($J100)),$J100&lt;=0),"Estoque-alvo inválido",IF($K100&lt;&gt;"Ativo","Produto inativo","OK"))))))))</f>
        <v/>
      </c>
    </row>
    <row r="101">
      <c r="A101" s="16" t="n"/>
      <c r="B101" s="16" t="n"/>
      <c r="C101" s="16" t="n"/>
      <c r="D101" s="17" t="n"/>
      <c r="E101" s="18" t="n"/>
      <c r="F101" s="17" t="n"/>
      <c r="G101" s="19">
        <f>IF(OR($A101="",$D101="",$E101="",$D101&lt;=0,$E101&lt;0,$E101&gt;=1),"",IFERROR(ROUND($D101/(1-$E101),2),""))</f>
        <v/>
      </c>
      <c r="H101" s="19">
        <f>IF($A101="","",IF(AND($F101="",$G101=""),"",ROUND(MAX(IF($F101="",0,$F101),IF($G101="",0,$G101)),2)))</f>
        <v/>
      </c>
      <c r="I101" s="17" t="n"/>
      <c r="J101" s="20" t="n"/>
      <c r="K101" s="16" t="n"/>
      <c r="L101" s="21">
        <f>IF($A101="","",IF(COUNTIF($A$4:$A$103,$A101)&gt;1,"SKU duplicado",IF(OR($D101="",NOT(ISNUMBER($D101)),$D101&lt;=0),"Custo inválido",IF(OR($E101="",NOT(ISNUMBER($E101)),$E101&lt;0,$E101&gt;=1),"Margem mínima inválida",IF($H101="","Piso ausente",IF(OR($I101="",NOT(ISNUMBER($I101)),$I101&lt;$H101),"Teto abaixo do piso ou ausente",IF(OR($J101="",NOT(ISNUMBER($J101)),$J101&lt;=0),"Estoque-alvo inválido",IF($K101&lt;&gt;"Ativo","Produto inativo","OK"))))))))</f>
        <v/>
      </c>
    </row>
    <row r="102">
      <c r="A102" s="16" t="n"/>
      <c r="B102" s="16" t="n"/>
      <c r="C102" s="16" t="n"/>
      <c r="D102" s="17" t="n"/>
      <c r="E102" s="18" t="n"/>
      <c r="F102" s="17" t="n"/>
      <c r="G102" s="19">
        <f>IF(OR($A102="",$D102="",$E102="",$D102&lt;=0,$E102&lt;0,$E102&gt;=1),"",IFERROR(ROUND($D102/(1-$E102),2),""))</f>
        <v/>
      </c>
      <c r="H102" s="19">
        <f>IF($A102="","",IF(AND($F102="",$G102=""),"",ROUND(MAX(IF($F102="",0,$F102),IF($G102="",0,$G102)),2)))</f>
        <v/>
      </c>
      <c r="I102" s="17" t="n"/>
      <c r="J102" s="20" t="n"/>
      <c r="K102" s="16" t="n"/>
      <c r="L102" s="21">
        <f>IF($A102="","",IF(COUNTIF($A$4:$A$103,$A102)&gt;1,"SKU duplicado",IF(OR($D102="",NOT(ISNUMBER($D102)),$D102&lt;=0),"Custo inválido",IF(OR($E102="",NOT(ISNUMBER($E102)),$E102&lt;0,$E102&gt;=1),"Margem mínima inválida",IF($H102="","Piso ausente",IF(OR($I102="",NOT(ISNUMBER($I102)),$I102&lt;$H102),"Teto abaixo do piso ou ausente",IF(OR($J102="",NOT(ISNUMBER($J102)),$J102&lt;=0),"Estoque-alvo inválido",IF($K102&lt;&gt;"Ativo","Produto inativo","OK"))))))))</f>
        <v/>
      </c>
    </row>
    <row r="103">
      <c r="A103" s="16" t="n"/>
      <c r="B103" s="16" t="n"/>
      <c r="C103" s="16" t="n"/>
      <c r="D103" s="17" t="n"/>
      <c r="E103" s="18" t="n"/>
      <c r="F103" s="17" t="n"/>
      <c r="G103" s="19">
        <f>IF(OR($A103="",$D103="",$E103="",$D103&lt;=0,$E103&lt;0,$E103&gt;=1),"",IFERROR(ROUND($D103/(1-$E103),2),""))</f>
        <v/>
      </c>
      <c r="H103" s="19">
        <f>IF($A103="","",IF(AND($F103="",$G103=""),"",ROUND(MAX(IF($F103="",0,$F103),IF($G103="",0,$G103)),2)))</f>
        <v/>
      </c>
      <c r="I103" s="17" t="n"/>
      <c r="J103" s="20" t="n"/>
      <c r="K103" s="16" t="n"/>
      <c r="L103" s="21">
        <f>IF($A103="","",IF(COUNTIF($A$4:$A$103,$A103)&gt;1,"SKU duplicado",IF(OR($D103="",NOT(ISNUMBER($D103)),$D103&lt;=0),"Custo inválido",IF(OR($E103="",NOT(ISNUMBER($E103)),$E103&lt;0,$E103&gt;=1),"Margem mínima inválida",IF($H103="","Piso ausente",IF(OR($I103="",NOT(ISNUMBER($I103)),$I103&lt;$H103),"Teto abaixo do piso ou ausente",IF(OR($J103="",NOT(ISNUMBER($J103)),$J103&lt;=0),"Estoque-alvo inválido",IF($K103&lt;&gt;"Ativo","Produto inativo","OK"))))))))</f>
        <v/>
      </c>
    </row>
  </sheetData>
  <mergeCells count="1">
    <mergeCell ref="A1:L1"/>
  </mergeCells>
  <conditionalFormatting sqref="L4:L103">
    <cfRule type="expression" priority="1" dxfId="0">
      <formula>=$L4="OK"</formula>
    </cfRule>
    <cfRule type="expression" priority="2" dxfId="1">
      <formula>=AND($L4&lt;&gt;"",$L4&lt;&gt;"OK")</formula>
    </cfRule>
  </conditionalFormatting>
  <conditionalFormatting sqref="I4:I103">
    <cfRule type="expression" priority="3" dxfId="1">
      <formula>=AND($I4&lt;&gt;"",$H4&lt;&gt;"",$I4&lt;$H4)</formula>
    </cfRule>
  </conditionalFormatting>
  <conditionalFormatting sqref="A4:A103">
    <cfRule type="expression" priority="4" dxfId="1">
      <formula>=AND($A4&lt;&gt;"",COUNTIF($A$4:$A$103,$A4)&gt;1)</formula>
    </cfRule>
  </conditionalFormatting>
  <dataValidations count="7">
    <dataValidation sqref="A4:A103" showDropDown="0" showInputMessage="0" showErrorMessage="1" allowBlank="0" errorTitle="SKU duplicado" error="O SKU deve ser único." type="custom">
      <formula1>=OR($A4="",COUNTIF($A$4:$A$103,$A4)=1)</formula1>
    </dataValidation>
    <dataValidation sqref="D4:D103" showDropDown="0" showInputMessage="0" showErrorMessage="1" allowBlank="0" errorTitle="Custo inválido" error="Informe um valor maior que zero." type="decimal" operator="greaterThan">
      <formula1>0</formula1>
    </dataValidation>
    <dataValidation sqref="E4:E103" showDropDown="0" showInputMessage="0" showErrorMessage="1" allowBlank="0" errorTitle="Margem inválida" error="Informe uma margem entre 0% e 95%." type="decimal" operator="between">
      <formula1>0</formula1>
      <formula2>0.95</formula2>
    </dataValidation>
    <dataValidation sqref="F4:F103" showDropDown="0" showInputMessage="0" showErrorMessage="1" allowBlank="0" errorTitle="Piso inválido" error="Informe um valor maior ou igual a zero ou deixe vazio." type="custom">
      <formula1>=OR(F4="",AND(ISNUMBER(F4),F4&gt;=0))</formula1>
    </dataValidation>
    <dataValidation sqref="I4:I103" showDropDown="0" showInputMessage="0" showErrorMessage="1" allowBlank="0" errorTitle="Teto inválido" error="Informe um teto maior que zero." type="decimal" operator="greaterThan">
      <formula1>0</formula1>
    </dataValidation>
    <dataValidation sqref="J4:J103" showDropDown="0" showInputMessage="0" showErrorMessage="1" allowBlank="0" errorTitle="Estoque-alvo inválido" error="Informe uma quantidade inteira entre 1 e 1.000.000.000." type="whole" operator="between">
      <formula1>1</formula1>
      <formula2>1000000000</formula2>
    </dataValidation>
    <dataValidation sqref="K4:K103" showDropDown="0" showInputMessage="0" showErrorMessage="1" allowBlank="0" errorTitle="Status inválido" error="Selecione Ativo ou Inativo." type="list">
      <formula1>"Ativo,Inativo"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7" customWidth="1" min="3" max="3"/>
    <col width="19" customWidth="1" min="4" max="4"/>
    <col width="22" customWidth="1" min="5" max="5"/>
    <col width="21" customWidth="1" min="6" max="6"/>
    <col width="24" customWidth="1" min="7" max="7"/>
    <col width="26" customWidth="1" min="8" max="8"/>
    <col width="25" customWidth="1" min="9" max="9"/>
    <col width="17" customWidth="1" min="10" max="10"/>
    <col width="19" customWidth="1" min="11" max="11"/>
    <col width="21" customWidth="1" min="12" max="12"/>
    <col width="20" customWidth="1" min="13" max="13"/>
    <col width="17" customWidth="1" min="14" max="14"/>
    <col width="10" customWidth="1" min="15" max="15"/>
    <col width="31" customWidth="1" min="16" max="16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Regras de reajuste</t>
        </is>
      </c>
    </row>
    <row r="2" ht="28" customHeight="1">
      <c r="A2" s="2" t="inlineStr">
        <is>
          <t>Percentuais são parâmetros internos e devem ser revisados antes do uso operacional.</t>
        </is>
      </c>
    </row>
    <row r="3" ht="38" customHeight="1">
      <c r="A3" s="6" t="inlineStr">
        <is>
          <t>Código da regra</t>
        </is>
      </c>
      <c r="B3" s="6" t="inlineStr">
        <is>
          <t>Nome da regra</t>
        </is>
      </c>
      <c r="C3" s="6" t="inlineStr">
        <is>
          <t>Demanda baixa até</t>
        </is>
      </c>
      <c r="D3" s="6" t="inlineStr">
        <is>
          <t>Demanda alta a partir</t>
        </is>
      </c>
      <c r="E3" s="6" t="inlineStr">
        <is>
          <t>Ajuste por demanda baixa</t>
        </is>
      </c>
      <c r="F3" s="6" t="inlineStr">
        <is>
          <t>Ajuste por demanda alta</t>
        </is>
      </c>
      <c r="G3" s="6" t="inlineStr">
        <is>
          <t>Diferença concorrente relevante</t>
        </is>
      </c>
      <c r="H3" s="6" t="inlineStr">
        <is>
          <t>Ajuste se concorrente mais barato</t>
        </is>
      </c>
      <c r="I3" s="6" t="inlineStr">
        <is>
          <t>Ajuste se concorrente mais caro</t>
        </is>
      </c>
      <c r="J3" s="6" t="inlineStr">
        <is>
          <t>Estoque baixo até</t>
        </is>
      </c>
      <c r="K3" s="6" t="inlineStr">
        <is>
          <t>Estoque alto a partir</t>
        </is>
      </c>
      <c r="L3" s="6" t="inlineStr">
        <is>
          <t>Ajuste por estoque baixo</t>
        </is>
      </c>
      <c r="M3" s="6" t="inlineStr">
        <is>
          <t>Ajuste por estoque alto</t>
        </is>
      </c>
      <c r="N3" s="6" t="inlineStr">
        <is>
          <t>Limite por rodada</t>
        </is>
      </c>
      <c r="O3" s="6" t="inlineStr">
        <is>
          <t>Ativa</t>
        </is>
      </c>
      <c r="P3" s="6" t="inlineStr">
        <is>
          <t>Checagem</t>
        </is>
      </c>
      <c r="S3" s="22" t="inlineStr">
        <is>
          <t>Decisões</t>
        </is>
      </c>
      <c r="T3" s="22" t="inlineStr">
        <is>
          <t>Status de produto</t>
        </is>
      </c>
      <c r="U3" s="22" t="inlineStr">
        <is>
          <t>Regra ativa</t>
        </is>
      </c>
    </row>
    <row r="4">
      <c r="A4" s="16" t="inlineStr">
        <is>
          <t>R-BASE</t>
        </is>
      </c>
      <c r="B4" s="16" t="inlineStr">
        <is>
          <t>Equilíbrio fictício</t>
        </is>
      </c>
      <c r="C4" s="18" t="n">
        <v>0.85</v>
      </c>
      <c r="D4" s="18" t="n">
        <v>1.15</v>
      </c>
      <c r="E4" s="18" t="n">
        <v>-0.04</v>
      </c>
      <c r="F4" s="18" t="n">
        <v>0.05</v>
      </c>
      <c r="G4" s="18" t="n">
        <v>0.03</v>
      </c>
      <c r="H4" s="18" t="n">
        <v>-0.03</v>
      </c>
      <c r="I4" s="18" t="n">
        <v>0.02</v>
      </c>
      <c r="J4" s="18" t="n">
        <v>0.4</v>
      </c>
      <c r="K4" s="18" t="n">
        <v>1.2</v>
      </c>
      <c r="L4" s="18" t="n">
        <v>0.04</v>
      </c>
      <c r="M4" s="18" t="n">
        <v>-0.05</v>
      </c>
      <c r="N4" s="18" t="n">
        <v>0.08</v>
      </c>
      <c r="O4" s="16" t="inlineStr">
        <is>
          <t>Sim</t>
        </is>
      </c>
      <c r="P4" s="21">
        <f>IF($A4="","",IF(COUNTIF($A$4:$A$103,$A4)&gt;1,"Código duplicado",IF(COUNT($C4:$N4)&lt;&gt;12,"Parâmetros incompletos",IF(OR($C4&lt;0,$C4&gt;=$D4,$D4&gt;5),"Limiares de demanda inválidos",IF(OR($J4&lt;0,$J4&gt;=$K4,$K4&gt;5),"Limiares de estoque inválidos",IF(OR($G4&lt;0,$G4&gt;0.5,$N4&lt;=0,$N4&gt;0.5,ABS($E4)&gt;0.5,ABS($F4)&gt;0.5,ABS($H4)&gt;0.5,ABS($I4)&gt;0.5,ABS($L4)&gt;0.5,ABS($M4)&gt;0.5),"Ajustes ou limite inválidos",IF($O4&lt;&gt;"Sim","Regra inativa","OK")))))))</f>
        <v/>
      </c>
      <c r="S4" s="23" t="inlineStr">
        <is>
          <t>Pendente</t>
        </is>
      </c>
      <c r="T4" s="23" t="inlineStr">
        <is>
          <t>Ativo</t>
        </is>
      </c>
      <c r="U4" s="23" t="inlineStr">
        <is>
          <t>Sim</t>
        </is>
      </c>
    </row>
    <row r="5">
      <c r="A5" s="16" t="inlineStr">
        <is>
          <t>R-AGIL</t>
        </is>
      </c>
      <c r="B5" s="16" t="inlineStr">
        <is>
          <t>Resposta ágil fictícia</t>
        </is>
      </c>
      <c r="C5" s="18" t="n">
        <v>0.9</v>
      </c>
      <c r="D5" s="18" t="n">
        <v>1.1</v>
      </c>
      <c r="E5" s="18" t="n">
        <v>-0.05</v>
      </c>
      <c r="F5" s="18" t="n">
        <v>0.06</v>
      </c>
      <c r="G5" s="18" t="n">
        <v>0.02</v>
      </c>
      <c r="H5" s="18" t="n">
        <v>-0.04</v>
      </c>
      <c r="I5" s="18" t="n">
        <v>0.03</v>
      </c>
      <c r="J5" s="18" t="n">
        <v>0.35</v>
      </c>
      <c r="K5" s="18" t="n">
        <v>1.1</v>
      </c>
      <c r="L5" s="18" t="n">
        <v>0.05</v>
      </c>
      <c r="M5" s="18" t="n">
        <v>-0.06</v>
      </c>
      <c r="N5" s="18" t="n">
        <v>0.1</v>
      </c>
      <c r="O5" s="16" t="inlineStr">
        <is>
          <t>Sim</t>
        </is>
      </c>
      <c r="P5" s="21">
        <f>IF($A5="","",IF(COUNTIF($A$4:$A$103,$A5)&gt;1,"Código duplicado",IF(COUNT($C5:$N5)&lt;&gt;12,"Parâmetros incompletos",IF(OR($C5&lt;0,$C5&gt;=$D5,$D5&gt;5),"Limiares de demanda inválidos",IF(OR($J5&lt;0,$J5&gt;=$K5,$K5&gt;5),"Limiares de estoque inválidos",IF(OR($G5&lt;0,$G5&gt;0.5,$N5&lt;=0,$N5&gt;0.5,ABS($E5)&gt;0.5,ABS($F5)&gt;0.5,ABS($H5)&gt;0.5,ABS($I5)&gt;0.5,ABS($L5)&gt;0.5,ABS($M5)&gt;0.5),"Ajustes ou limite inválidos",IF($O5&lt;&gt;"Sim","Regra inativa","OK")))))))</f>
        <v/>
      </c>
      <c r="S5" s="23" t="inlineStr">
        <is>
          <t>Aprovar recomendação</t>
        </is>
      </c>
      <c r="T5" s="23" t="inlineStr">
        <is>
          <t>Inativo</t>
        </is>
      </c>
      <c r="U5" s="23" t="inlineStr">
        <is>
          <t>Não</t>
        </is>
      </c>
    </row>
    <row r="6">
      <c r="A6" s="16" t="inlineStr">
        <is>
          <t>R-MARGEM</t>
        </is>
      </c>
      <c r="B6" s="16" t="inlineStr">
        <is>
          <t>Proteção moderada fictícia</t>
        </is>
      </c>
      <c r="C6" s="18" t="n">
        <v>0.8</v>
      </c>
      <c r="D6" s="18" t="n">
        <v>1.2</v>
      </c>
      <c r="E6" s="18" t="n">
        <v>-0.02</v>
      </c>
      <c r="F6" s="18" t="n">
        <v>0.04</v>
      </c>
      <c r="G6" s="18" t="n">
        <v>0.05</v>
      </c>
      <c r="H6" s="18" t="n">
        <v>-0.02</v>
      </c>
      <c r="I6" s="18" t="n">
        <v>0.01</v>
      </c>
      <c r="J6" s="18" t="n">
        <v>0.3</v>
      </c>
      <c r="K6" s="18" t="n">
        <v>1.3</v>
      </c>
      <c r="L6" s="18" t="n">
        <v>0.03</v>
      </c>
      <c r="M6" s="18" t="n">
        <v>-0.03</v>
      </c>
      <c r="N6" s="18" t="n">
        <v>0.05</v>
      </c>
      <c r="O6" s="16" t="inlineStr">
        <is>
          <t>Sim</t>
        </is>
      </c>
      <c r="P6" s="21">
        <f>IF($A6="","",IF(COUNTIF($A$4:$A$103,$A6)&gt;1,"Código duplicado",IF(COUNT($C6:$N6)&lt;&gt;12,"Parâmetros incompletos",IF(OR($C6&lt;0,$C6&gt;=$D6,$D6&gt;5),"Limiares de demanda inválidos",IF(OR($J6&lt;0,$J6&gt;=$K6,$K6&gt;5),"Limiares de estoque inválidos",IF(OR($G6&lt;0,$G6&gt;0.5,$N6&lt;=0,$N6&gt;0.5,ABS($E6)&gt;0.5,ABS($F6)&gt;0.5,ABS($H6)&gt;0.5,ABS($I6)&gt;0.5,ABS($L6)&gt;0.5,ABS($M6)&gt;0.5),"Ajustes ou limite inválidos",IF($O6&lt;&gt;"Sim","Regra inativa","OK")))))))</f>
        <v/>
      </c>
      <c r="S6" s="23" t="inlineStr">
        <is>
          <t>Manter preço atual</t>
        </is>
      </c>
      <c r="T6" s="23" t="n"/>
      <c r="U6" s="23" t="n"/>
    </row>
    <row r="7">
      <c r="A7" s="16" t="inlineStr">
        <is>
          <t>R-COMP</t>
        </is>
      </c>
      <c r="B7" s="16" t="inlineStr">
        <is>
          <t>Competitividade fictícia</t>
        </is>
      </c>
      <c r="C7" s="18" t="n">
        <v>0.9</v>
      </c>
      <c r="D7" s="18" t="n">
        <v>1.1</v>
      </c>
      <c r="E7" s="18" t="n">
        <v>-0.03</v>
      </c>
      <c r="F7" s="18" t="n">
        <v>0.03</v>
      </c>
      <c r="G7" s="18" t="n">
        <v>0.01</v>
      </c>
      <c r="H7" s="18" t="n">
        <v>-0.06</v>
      </c>
      <c r="I7" s="18" t="n">
        <v>0.04</v>
      </c>
      <c r="J7" s="18" t="n">
        <v>0.25</v>
      </c>
      <c r="K7" s="18" t="n">
        <v>1.25</v>
      </c>
      <c r="L7" s="18" t="n">
        <v>0.02</v>
      </c>
      <c r="M7" s="18" t="n">
        <v>-0.02</v>
      </c>
      <c r="N7" s="18" t="n">
        <v>0.08</v>
      </c>
      <c r="O7" s="16" t="inlineStr">
        <is>
          <t>Sim</t>
        </is>
      </c>
      <c r="P7" s="21">
        <f>IF($A7="","",IF(COUNTIF($A$4:$A$103,$A7)&gt;1,"Código duplicado",IF(COUNT($C7:$N7)&lt;&gt;12,"Parâmetros incompletos",IF(OR($C7&lt;0,$C7&gt;=$D7,$D7&gt;5),"Limiares de demanda inválidos",IF(OR($J7&lt;0,$J7&gt;=$K7,$K7&gt;5),"Limiares de estoque inválidos",IF(OR($G7&lt;0,$G7&gt;0.5,$N7&lt;=0,$N7&gt;0.5,ABS($E7)&gt;0.5,ABS($F7)&gt;0.5,ABS($H7)&gt;0.5,ABS($I7)&gt;0.5,ABS($L7)&gt;0.5,ABS($M7)&gt;0.5),"Ajustes ou limite inválidos",IF($O7&lt;&gt;"Sim","Regra inativa","OK")))))))</f>
        <v/>
      </c>
      <c r="S7" s="23" t="inlineStr">
        <is>
          <t>Definir manualmente</t>
        </is>
      </c>
      <c r="T7" s="23" t="n"/>
      <c r="U7" s="23" t="n"/>
    </row>
    <row r="8">
      <c r="A8" s="16" t="inlineStr">
        <is>
          <t>R-ESTOQUE</t>
        </is>
      </c>
      <c r="B8" s="16" t="inlineStr">
        <is>
          <t>Giro de estoque fictício</t>
        </is>
      </c>
      <c r="C8" s="18" t="n">
        <v>0.85</v>
      </c>
      <c r="D8" s="18" t="n">
        <v>1.15</v>
      </c>
      <c r="E8" s="18" t="n">
        <v>-0.03</v>
      </c>
      <c r="F8" s="18" t="n">
        <v>0.04</v>
      </c>
      <c r="G8" s="18" t="n">
        <v>0.04</v>
      </c>
      <c r="H8" s="18" t="n">
        <v>-0.02</v>
      </c>
      <c r="I8" s="18" t="n">
        <v>0.01</v>
      </c>
      <c r="J8" s="18" t="n">
        <v>0.5</v>
      </c>
      <c r="K8" s="18" t="n">
        <v>1.1</v>
      </c>
      <c r="L8" s="18" t="n">
        <v>0.07000000000000001</v>
      </c>
      <c r="M8" s="18" t="n">
        <v>-0.08</v>
      </c>
      <c r="N8" s="18" t="n">
        <v>0.1</v>
      </c>
      <c r="O8" s="16" t="inlineStr">
        <is>
          <t>Sim</t>
        </is>
      </c>
      <c r="P8" s="21">
        <f>IF($A8="","",IF(COUNTIF($A$4:$A$103,$A8)&gt;1,"Código duplicado",IF(COUNT($C8:$N8)&lt;&gt;12,"Parâmetros incompletos",IF(OR($C8&lt;0,$C8&gt;=$D8,$D8&gt;5),"Limiares de demanda inválidos",IF(OR($J8&lt;0,$J8&gt;=$K8,$K8&gt;5),"Limiares de estoque inválidos",IF(OR($G8&lt;0,$G8&gt;0.5,$N8&lt;=0,$N8&gt;0.5,ABS($E8)&gt;0.5,ABS($F8)&gt;0.5,ABS($H8)&gt;0.5,ABS($I8)&gt;0.5,ABS($L8)&gt;0.5,ABS($M8)&gt;0.5),"Ajustes ou limite inválidos",IF($O8&lt;&gt;"Sim","Regra inativa","OK")))))))</f>
        <v/>
      </c>
    </row>
    <row r="9">
      <c r="A9" s="16" t="n"/>
      <c r="B9" s="16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6" t="n"/>
      <c r="P9" s="21">
        <f>IF($A9="","",IF(COUNTIF($A$4:$A$103,$A9)&gt;1,"Código duplicado",IF(COUNT($C9:$N9)&lt;&gt;12,"Parâmetros incompletos",IF(OR($C9&lt;0,$C9&gt;=$D9,$D9&gt;5),"Limiares de demanda inválidos",IF(OR($J9&lt;0,$J9&gt;=$K9,$K9&gt;5),"Limiares de estoque inválidos",IF(OR($G9&lt;0,$G9&gt;0.5,$N9&lt;=0,$N9&gt;0.5,ABS($E9)&gt;0.5,ABS($F9)&gt;0.5,ABS($H9)&gt;0.5,ABS($I9)&gt;0.5,ABS($L9)&gt;0.5,ABS($M9)&gt;0.5),"Ajustes ou limite inválidos",IF($O9&lt;&gt;"Sim","Regra inativa","OK")))))))</f>
        <v/>
      </c>
    </row>
    <row r="10">
      <c r="A10" s="16" t="n"/>
      <c r="B10" s="16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18" t="n"/>
      <c r="O10" s="16" t="n"/>
      <c r="P10" s="21">
        <f>IF($A10="","",IF(COUNTIF($A$4:$A$103,$A10)&gt;1,"Código duplicado",IF(COUNT($C10:$N10)&lt;&gt;12,"Parâmetros incompletos",IF(OR($C10&lt;0,$C10&gt;=$D10,$D10&gt;5),"Limiares de demanda inválidos",IF(OR($J10&lt;0,$J10&gt;=$K10,$K10&gt;5),"Limiares de estoque inválidos",IF(OR($G10&lt;0,$G10&gt;0.5,$N10&lt;=0,$N10&gt;0.5,ABS($E10)&gt;0.5,ABS($F10)&gt;0.5,ABS($H10)&gt;0.5,ABS($I10)&gt;0.5,ABS($L10)&gt;0.5,ABS($M10)&gt;0.5),"Ajustes ou limite inválidos",IF($O10&lt;&gt;"Sim","Regra inativa","OK")))))))</f>
        <v/>
      </c>
    </row>
    <row r="11">
      <c r="A11" s="16" t="n"/>
      <c r="B11" s="16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6" t="n"/>
      <c r="P11" s="21">
        <f>IF($A11="","",IF(COUNTIF($A$4:$A$103,$A11)&gt;1,"Código duplicado",IF(COUNT($C11:$N11)&lt;&gt;12,"Parâmetros incompletos",IF(OR($C11&lt;0,$C11&gt;=$D11,$D11&gt;5),"Limiares de demanda inválidos",IF(OR($J11&lt;0,$J11&gt;=$K11,$K11&gt;5),"Limiares de estoque inválidos",IF(OR($G11&lt;0,$G11&gt;0.5,$N11&lt;=0,$N11&gt;0.5,ABS($E11)&gt;0.5,ABS($F11)&gt;0.5,ABS($H11)&gt;0.5,ABS($I11)&gt;0.5,ABS($L11)&gt;0.5,ABS($M11)&gt;0.5),"Ajustes ou limite inválidos",IF($O11&lt;&gt;"Sim","Regra inativa","OK")))))))</f>
        <v/>
      </c>
    </row>
    <row r="12">
      <c r="A12" s="16" t="n"/>
      <c r="B12" s="16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8" t="n"/>
      <c r="O12" s="16" t="n"/>
      <c r="P12" s="21">
        <f>IF($A12="","",IF(COUNTIF($A$4:$A$103,$A12)&gt;1,"Código duplicado",IF(COUNT($C12:$N12)&lt;&gt;12,"Parâmetros incompletos",IF(OR($C12&lt;0,$C12&gt;=$D12,$D12&gt;5),"Limiares de demanda inválidos",IF(OR($J12&lt;0,$J12&gt;=$K12,$K12&gt;5),"Limiares de estoque inválidos",IF(OR($G12&lt;0,$G12&gt;0.5,$N12&lt;=0,$N12&gt;0.5,ABS($E12)&gt;0.5,ABS($F12)&gt;0.5,ABS($H12)&gt;0.5,ABS($I12)&gt;0.5,ABS($L12)&gt;0.5,ABS($M12)&gt;0.5),"Ajustes ou limite inválidos",IF($O12&lt;&gt;"Sim","Regra inativa","OK")))))))</f>
        <v/>
      </c>
    </row>
    <row r="13">
      <c r="A13" s="16" t="n"/>
      <c r="B13" s="16" t="n"/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8" t="n"/>
      <c r="O13" s="16" t="n"/>
      <c r="P13" s="21">
        <f>IF($A13="","",IF(COUNTIF($A$4:$A$103,$A13)&gt;1,"Código duplicado",IF(COUNT($C13:$N13)&lt;&gt;12,"Parâmetros incompletos",IF(OR($C13&lt;0,$C13&gt;=$D13,$D13&gt;5),"Limiares de demanda inválidos",IF(OR($J13&lt;0,$J13&gt;=$K13,$K13&gt;5),"Limiares de estoque inválidos",IF(OR($G13&lt;0,$G13&gt;0.5,$N13&lt;=0,$N13&gt;0.5,ABS($E13)&gt;0.5,ABS($F13)&gt;0.5,ABS($H13)&gt;0.5,ABS($I13)&gt;0.5,ABS($L13)&gt;0.5,ABS($M13)&gt;0.5),"Ajustes ou limite inválidos",IF($O13&lt;&gt;"Sim","Regra inativa","OK")))))))</f>
        <v/>
      </c>
    </row>
    <row r="14">
      <c r="A14" s="16" t="n"/>
      <c r="B14" s="16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8" t="n"/>
      <c r="O14" s="16" t="n"/>
      <c r="P14" s="21">
        <f>IF($A14="","",IF(COUNTIF($A$4:$A$103,$A14)&gt;1,"Código duplicado",IF(COUNT($C14:$N14)&lt;&gt;12,"Parâmetros incompletos",IF(OR($C14&lt;0,$C14&gt;=$D14,$D14&gt;5),"Limiares de demanda inválidos",IF(OR($J14&lt;0,$J14&gt;=$K14,$K14&gt;5),"Limiares de estoque inválidos",IF(OR($G14&lt;0,$G14&gt;0.5,$N14&lt;=0,$N14&gt;0.5,ABS($E14)&gt;0.5,ABS($F14)&gt;0.5,ABS($H14)&gt;0.5,ABS($I14)&gt;0.5,ABS($L14)&gt;0.5,ABS($M14)&gt;0.5),"Ajustes ou limite inválidos",IF($O14&lt;&gt;"Sim","Regra inativa","OK")))))))</f>
        <v/>
      </c>
    </row>
    <row r="15">
      <c r="A15" s="16" t="n"/>
      <c r="B15" s="16" t="n"/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18" t="n"/>
      <c r="O15" s="16" t="n"/>
      <c r="P15" s="21">
        <f>IF($A15="","",IF(COUNTIF($A$4:$A$103,$A15)&gt;1,"Código duplicado",IF(COUNT($C15:$N15)&lt;&gt;12,"Parâmetros incompletos",IF(OR($C15&lt;0,$C15&gt;=$D15,$D15&gt;5),"Limiares de demanda inválidos",IF(OR($J15&lt;0,$J15&gt;=$K15,$K15&gt;5),"Limiares de estoque inválidos",IF(OR($G15&lt;0,$G15&gt;0.5,$N15&lt;=0,$N15&gt;0.5,ABS($E15)&gt;0.5,ABS($F15)&gt;0.5,ABS($H15)&gt;0.5,ABS($I15)&gt;0.5,ABS($L15)&gt;0.5,ABS($M15)&gt;0.5),"Ajustes ou limite inválidos",IF($O15&lt;&gt;"Sim","Regra inativa","OK")))))))</f>
        <v/>
      </c>
    </row>
    <row r="16">
      <c r="A16" s="16" t="n"/>
      <c r="B16" s="16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6" t="n"/>
      <c r="P16" s="21">
        <f>IF($A16="","",IF(COUNTIF($A$4:$A$103,$A16)&gt;1,"Código duplicado",IF(COUNT($C16:$N16)&lt;&gt;12,"Parâmetros incompletos",IF(OR($C16&lt;0,$C16&gt;=$D16,$D16&gt;5),"Limiares de demanda inválidos",IF(OR($J16&lt;0,$J16&gt;=$K16,$K16&gt;5),"Limiares de estoque inválidos",IF(OR($G16&lt;0,$G16&gt;0.5,$N16&lt;=0,$N16&gt;0.5,ABS($E16)&gt;0.5,ABS($F16)&gt;0.5,ABS($H16)&gt;0.5,ABS($I16)&gt;0.5,ABS($L16)&gt;0.5,ABS($M16)&gt;0.5),"Ajustes ou limite inválidos",IF($O16&lt;&gt;"Sim","Regra inativa","OK")))))))</f>
        <v/>
      </c>
    </row>
    <row r="17">
      <c r="A17" s="16" t="n"/>
      <c r="B17" s="16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6" t="n"/>
      <c r="P17" s="21">
        <f>IF($A17="","",IF(COUNTIF($A$4:$A$103,$A17)&gt;1,"Código duplicado",IF(COUNT($C17:$N17)&lt;&gt;12,"Parâmetros incompletos",IF(OR($C17&lt;0,$C17&gt;=$D17,$D17&gt;5),"Limiares de demanda inválidos",IF(OR($J17&lt;0,$J17&gt;=$K17,$K17&gt;5),"Limiares de estoque inválidos",IF(OR($G17&lt;0,$G17&gt;0.5,$N17&lt;=0,$N17&gt;0.5,ABS($E17)&gt;0.5,ABS($F17)&gt;0.5,ABS($H17)&gt;0.5,ABS($I17)&gt;0.5,ABS($L17)&gt;0.5,ABS($M17)&gt;0.5),"Ajustes ou limite inválidos",IF($O17&lt;&gt;"Sim","Regra inativa","OK")))))))</f>
        <v/>
      </c>
    </row>
    <row r="18">
      <c r="A18" s="16" t="n"/>
      <c r="B18" s="16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6" t="n"/>
      <c r="P18" s="21">
        <f>IF($A18="","",IF(COUNTIF($A$4:$A$103,$A18)&gt;1,"Código duplicado",IF(COUNT($C18:$N18)&lt;&gt;12,"Parâmetros incompletos",IF(OR($C18&lt;0,$C18&gt;=$D18,$D18&gt;5),"Limiares de demanda inválidos",IF(OR($J18&lt;0,$J18&gt;=$K18,$K18&gt;5),"Limiares de estoque inválidos",IF(OR($G18&lt;0,$G18&gt;0.5,$N18&lt;=0,$N18&gt;0.5,ABS($E18)&gt;0.5,ABS($F18)&gt;0.5,ABS($H18)&gt;0.5,ABS($I18)&gt;0.5,ABS($L18)&gt;0.5,ABS($M18)&gt;0.5),"Ajustes ou limite inválidos",IF($O18&lt;&gt;"Sim","Regra inativa","OK")))))))</f>
        <v/>
      </c>
    </row>
    <row r="19">
      <c r="A19" s="16" t="n"/>
      <c r="B19" s="16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6" t="n"/>
      <c r="P19" s="21">
        <f>IF($A19="","",IF(COUNTIF($A$4:$A$103,$A19)&gt;1,"Código duplicado",IF(COUNT($C19:$N19)&lt;&gt;12,"Parâmetros incompletos",IF(OR($C19&lt;0,$C19&gt;=$D19,$D19&gt;5),"Limiares de demanda inválidos",IF(OR($J19&lt;0,$J19&gt;=$K19,$K19&gt;5),"Limiares de estoque inválidos",IF(OR($G19&lt;0,$G19&gt;0.5,$N19&lt;=0,$N19&gt;0.5,ABS($E19)&gt;0.5,ABS($F19)&gt;0.5,ABS($H19)&gt;0.5,ABS($I19)&gt;0.5,ABS($L19)&gt;0.5,ABS($M19)&gt;0.5),"Ajustes ou limite inválidos",IF($O19&lt;&gt;"Sim","Regra inativa","OK")))))))</f>
        <v/>
      </c>
    </row>
    <row r="20">
      <c r="A20" s="16" t="n"/>
      <c r="B20" s="16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6" t="n"/>
      <c r="P20" s="21">
        <f>IF($A20="","",IF(COUNTIF($A$4:$A$103,$A20)&gt;1,"Código duplicado",IF(COUNT($C20:$N20)&lt;&gt;12,"Parâmetros incompletos",IF(OR($C20&lt;0,$C20&gt;=$D20,$D20&gt;5),"Limiares de demanda inválidos",IF(OR($J20&lt;0,$J20&gt;=$K20,$K20&gt;5),"Limiares de estoque inválidos",IF(OR($G20&lt;0,$G20&gt;0.5,$N20&lt;=0,$N20&gt;0.5,ABS($E20)&gt;0.5,ABS($F20)&gt;0.5,ABS($H20)&gt;0.5,ABS($I20)&gt;0.5,ABS($L20)&gt;0.5,ABS($M20)&gt;0.5),"Ajustes ou limite inválidos",IF($O20&lt;&gt;"Sim","Regra inativa","OK")))))))</f>
        <v/>
      </c>
    </row>
    <row r="21">
      <c r="A21" s="16" t="n"/>
      <c r="B21" s="16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6" t="n"/>
      <c r="P21" s="21">
        <f>IF($A21="","",IF(COUNTIF($A$4:$A$103,$A21)&gt;1,"Código duplicado",IF(COUNT($C21:$N21)&lt;&gt;12,"Parâmetros incompletos",IF(OR($C21&lt;0,$C21&gt;=$D21,$D21&gt;5),"Limiares de demanda inválidos",IF(OR($J21&lt;0,$J21&gt;=$K21,$K21&gt;5),"Limiares de estoque inválidos",IF(OR($G21&lt;0,$G21&gt;0.5,$N21&lt;=0,$N21&gt;0.5,ABS($E21)&gt;0.5,ABS($F21)&gt;0.5,ABS($H21)&gt;0.5,ABS($I21)&gt;0.5,ABS($L21)&gt;0.5,ABS($M21)&gt;0.5),"Ajustes ou limite inválidos",IF($O21&lt;&gt;"Sim","Regra inativa","OK")))))))</f>
        <v/>
      </c>
    </row>
    <row r="22">
      <c r="A22" s="16" t="n"/>
      <c r="B22" s="16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6" t="n"/>
      <c r="P22" s="21">
        <f>IF($A22="","",IF(COUNTIF($A$4:$A$103,$A22)&gt;1,"Código duplicado",IF(COUNT($C22:$N22)&lt;&gt;12,"Parâmetros incompletos",IF(OR($C22&lt;0,$C22&gt;=$D22,$D22&gt;5),"Limiares de demanda inválidos",IF(OR($J22&lt;0,$J22&gt;=$K22,$K22&gt;5),"Limiares de estoque inválidos",IF(OR($G22&lt;0,$G22&gt;0.5,$N22&lt;=0,$N22&gt;0.5,ABS($E22)&gt;0.5,ABS($F22)&gt;0.5,ABS($H22)&gt;0.5,ABS($I22)&gt;0.5,ABS($L22)&gt;0.5,ABS($M22)&gt;0.5),"Ajustes ou limite inválidos",IF($O22&lt;&gt;"Sim","Regra inativa","OK")))))))</f>
        <v/>
      </c>
    </row>
    <row r="23">
      <c r="A23" s="16" t="n"/>
      <c r="B23" s="16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6" t="n"/>
      <c r="P23" s="21">
        <f>IF($A23="","",IF(COUNTIF($A$4:$A$103,$A23)&gt;1,"Código duplicado",IF(COUNT($C23:$N23)&lt;&gt;12,"Parâmetros incompletos",IF(OR($C23&lt;0,$C23&gt;=$D23,$D23&gt;5),"Limiares de demanda inválidos",IF(OR($J23&lt;0,$J23&gt;=$K23,$K23&gt;5),"Limiares de estoque inválidos",IF(OR($G23&lt;0,$G23&gt;0.5,$N23&lt;=0,$N23&gt;0.5,ABS($E23)&gt;0.5,ABS($F23)&gt;0.5,ABS($H23)&gt;0.5,ABS($I23)&gt;0.5,ABS($L23)&gt;0.5,ABS($M23)&gt;0.5),"Ajustes ou limite inválidos",IF($O23&lt;&gt;"Sim","Regra inativa","OK")))))))</f>
        <v/>
      </c>
    </row>
    <row r="24">
      <c r="A24" s="16" t="n"/>
      <c r="B24" s="16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6" t="n"/>
      <c r="P24" s="21">
        <f>IF($A24="","",IF(COUNTIF($A$4:$A$103,$A24)&gt;1,"Código duplicado",IF(COUNT($C24:$N24)&lt;&gt;12,"Parâmetros incompletos",IF(OR($C24&lt;0,$C24&gt;=$D24,$D24&gt;5),"Limiares de demanda inválidos",IF(OR($J24&lt;0,$J24&gt;=$K24,$K24&gt;5),"Limiares de estoque inválidos",IF(OR($G24&lt;0,$G24&gt;0.5,$N24&lt;=0,$N24&gt;0.5,ABS($E24)&gt;0.5,ABS($F24)&gt;0.5,ABS($H24)&gt;0.5,ABS($I24)&gt;0.5,ABS($L24)&gt;0.5,ABS($M24)&gt;0.5),"Ajustes ou limite inválidos",IF($O24&lt;&gt;"Sim","Regra inativa","OK")))))))</f>
        <v/>
      </c>
    </row>
    <row r="25">
      <c r="A25" s="16" t="n"/>
      <c r="B25" s="16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6" t="n"/>
      <c r="P25" s="21">
        <f>IF($A25="","",IF(COUNTIF($A$4:$A$103,$A25)&gt;1,"Código duplicado",IF(COUNT($C25:$N25)&lt;&gt;12,"Parâmetros incompletos",IF(OR($C25&lt;0,$C25&gt;=$D25,$D25&gt;5),"Limiares de demanda inválidos",IF(OR($J25&lt;0,$J25&gt;=$K25,$K25&gt;5),"Limiares de estoque inválidos",IF(OR($G25&lt;0,$G25&gt;0.5,$N25&lt;=0,$N25&gt;0.5,ABS($E25)&gt;0.5,ABS($F25)&gt;0.5,ABS($H25)&gt;0.5,ABS($I25)&gt;0.5,ABS($L25)&gt;0.5,ABS($M25)&gt;0.5),"Ajustes ou limite inválidos",IF($O25&lt;&gt;"Sim","Regra inativa","OK")))))))</f>
        <v/>
      </c>
    </row>
    <row r="26">
      <c r="A26" s="16" t="n"/>
      <c r="B26" s="16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6" t="n"/>
      <c r="P26" s="21">
        <f>IF($A26="","",IF(COUNTIF($A$4:$A$103,$A26)&gt;1,"Código duplicado",IF(COUNT($C26:$N26)&lt;&gt;12,"Parâmetros incompletos",IF(OR($C26&lt;0,$C26&gt;=$D26,$D26&gt;5),"Limiares de demanda inválidos",IF(OR($J26&lt;0,$J26&gt;=$K26,$K26&gt;5),"Limiares de estoque inválidos",IF(OR($G26&lt;0,$G26&gt;0.5,$N26&lt;=0,$N26&gt;0.5,ABS($E26)&gt;0.5,ABS($F26)&gt;0.5,ABS($H26)&gt;0.5,ABS($I26)&gt;0.5,ABS($L26)&gt;0.5,ABS($M26)&gt;0.5),"Ajustes ou limite inválidos",IF($O26&lt;&gt;"Sim","Regra inativa","OK")))))))</f>
        <v/>
      </c>
    </row>
    <row r="27">
      <c r="A27" s="16" t="n"/>
      <c r="B27" s="16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6" t="n"/>
      <c r="P27" s="21">
        <f>IF($A27="","",IF(COUNTIF($A$4:$A$103,$A27)&gt;1,"Código duplicado",IF(COUNT($C27:$N27)&lt;&gt;12,"Parâmetros incompletos",IF(OR($C27&lt;0,$C27&gt;=$D27,$D27&gt;5),"Limiares de demanda inválidos",IF(OR($J27&lt;0,$J27&gt;=$K27,$K27&gt;5),"Limiares de estoque inválidos",IF(OR($G27&lt;0,$G27&gt;0.5,$N27&lt;=0,$N27&gt;0.5,ABS($E27)&gt;0.5,ABS($F27)&gt;0.5,ABS($H27)&gt;0.5,ABS($I27)&gt;0.5,ABS($L27)&gt;0.5,ABS($M27)&gt;0.5),"Ajustes ou limite inválidos",IF($O27&lt;&gt;"Sim","Regra inativa","OK")))))))</f>
        <v/>
      </c>
    </row>
    <row r="28">
      <c r="A28" s="16" t="n"/>
      <c r="B28" s="16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6" t="n"/>
      <c r="P28" s="21">
        <f>IF($A28="","",IF(COUNTIF($A$4:$A$103,$A28)&gt;1,"Código duplicado",IF(COUNT($C28:$N28)&lt;&gt;12,"Parâmetros incompletos",IF(OR($C28&lt;0,$C28&gt;=$D28,$D28&gt;5),"Limiares de demanda inválidos",IF(OR($J28&lt;0,$J28&gt;=$K28,$K28&gt;5),"Limiares de estoque inválidos",IF(OR($G28&lt;0,$G28&gt;0.5,$N28&lt;=0,$N28&gt;0.5,ABS($E28)&gt;0.5,ABS($F28)&gt;0.5,ABS($H28)&gt;0.5,ABS($I28)&gt;0.5,ABS($L28)&gt;0.5,ABS($M28)&gt;0.5),"Ajustes ou limite inválidos",IF($O28&lt;&gt;"Sim","Regra inativa","OK")))))))</f>
        <v/>
      </c>
    </row>
    <row r="29">
      <c r="A29" s="16" t="n"/>
      <c r="B29" s="16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6" t="n"/>
      <c r="P29" s="21">
        <f>IF($A29="","",IF(COUNTIF($A$4:$A$103,$A29)&gt;1,"Código duplicado",IF(COUNT($C29:$N29)&lt;&gt;12,"Parâmetros incompletos",IF(OR($C29&lt;0,$C29&gt;=$D29,$D29&gt;5),"Limiares de demanda inválidos",IF(OR($J29&lt;0,$J29&gt;=$K29,$K29&gt;5),"Limiares de estoque inválidos",IF(OR($G29&lt;0,$G29&gt;0.5,$N29&lt;=0,$N29&gt;0.5,ABS($E29)&gt;0.5,ABS($F29)&gt;0.5,ABS($H29)&gt;0.5,ABS($I29)&gt;0.5,ABS($L29)&gt;0.5,ABS($M29)&gt;0.5),"Ajustes ou limite inválidos",IF($O29&lt;&gt;"Sim","Regra inativa","OK")))))))</f>
        <v/>
      </c>
    </row>
    <row r="30">
      <c r="A30" s="16" t="n"/>
      <c r="B30" s="16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  <c r="O30" s="16" t="n"/>
      <c r="P30" s="21">
        <f>IF($A30="","",IF(COUNTIF($A$4:$A$103,$A30)&gt;1,"Código duplicado",IF(COUNT($C30:$N30)&lt;&gt;12,"Parâmetros incompletos",IF(OR($C30&lt;0,$C30&gt;=$D30,$D30&gt;5),"Limiares de demanda inválidos",IF(OR($J30&lt;0,$J30&gt;=$K30,$K30&gt;5),"Limiares de estoque inválidos",IF(OR($G30&lt;0,$G30&gt;0.5,$N30&lt;=0,$N30&gt;0.5,ABS($E30)&gt;0.5,ABS($F30)&gt;0.5,ABS($H30)&gt;0.5,ABS($I30)&gt;0.5,ABS($L30)&gt;0.5,ABS($M30)&gt;0.5),"Ajustes ou limite inválidos",IF($O30&lt;&gt;"Sim","Regra inativa","OK")))))))</f>
        <v/>
      </c>
    </row>
    <row r="31">
      <c r="A31" s="16" t="n"/>
      <c r="B31" s="16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6" t="n"/>
      <c r="P31" s="21">
        <f>IF($A31="","",IF(COUNTIF($A$4:$A$103,$A31)&gt;1,"Código duplicado",IF(COUNT($C31:$N31)&lt;&gt;12,"Parâmetros incompletos",IF(OR($C31&lt;0,$C31&gt;=$D31,$D31&gt;5),"Limiares de demanda inválidos",IF(OR($J31&lt;0,$J31&gt;=$K31,$K31&gt;5),"Limiares de estoque inválidos",IF(OR($G31&lt;0,$G31&gt;0.5,$N31&lt;=0,$N31&gt;0.5,ABS($E31)&gt;0.5,ABS($F31)&gt;0.5,ABS($H31)&gt;0.5,ABS($I31)&gt;0.5,ABS($L31)&gt;0.5,ABS($M31)&gt;0.5),"Ajustes ou limite inválidos",IF($O31&lt;&gt;"Sim","Regra inativa","OK")))))))</f>
        <v/>
      </c>
    </row>
    <row r="32">
      <c r="A32" s="16" t="n"/>
      <c r="B32" s="16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8" t="n"/>
      <c r="O32" s="16" t="n"/>
      <c r="P32" s="21">
        <f>IF($A32="","",IF(COUNTIF($A$4:$A$103,$A32)&gt;1,"Código duplicado",IF(COUNT($C32:$N32)&lt;&gt;12,"Parâmetros incompletos",IF(OR($C32&lt;0,$C32&gt;=$D32,$D32&gt;5),"Limiares de demanda inválidos",IF(OR($J32&lt;0,$J32&gt;=$K32,$K32&gt;5),"Limiares de estoque inválidos",IF(OR($G32&lt;0,$G32&gt;0.5,$N32&lt;=0,$N32&gt;0.5,ABS($E32)&gt;0.5,ABS($F32)&gt;0.5,ABS($H32)&gt;0.5,ABS($I32)&gt;0.5,ABS($L32)&gt;0.5,ABS($M32)&gt;0.5),"Ajustes ou limite inválidos",IF($O32&lt;&gt;"Sim","Regra inativa","OK")))))))</f>
        <v/>
      </c>
    </row>
    <row r="33">
      <c r="A33" s="16" t="n"/>
      <c r="B33" s="16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6" t="n"/>
      <c r="P33" s="21">
        <f>IF($A33="","",IF(COUNTIF($A$4:$A$103,$A33)&gt;1,"Código duplicado",IF(COUNT($C33:$N33)&lt;&gt;12,"Parâmetros incompletos",IF(OR($C33&lt;0,$C33&gt;=$D33,$D33&gt;5),"Limiares de demanda inválidos",IF(OR($J33&lt;0,$J33&gt;=$K33,$K33&gt;5),"Limiares de estoque inválidos",IF(OR($G33&lt;0,$G33&gt;0.5,$N33&lt;=0,$N33&gt;0.5,ABS($E33)&gt;0.5,ABS($F33)&gt;0.5,ABS($H33)&gt;0.5,ABS($I33)&gt;0.5,ABS($L33)&gt;0.5,ABS($M33)&gt;0.5),"Ajustes ou limite inválidos",IF($O33&lt;&gt;"Sim","Regra inativa","OK")))))))</f>
        <v/>
      </c>
    </row>
    <row r="34">
      <c r="A34" s="16" t="n"/>
      <c r="B34" s="16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  <c r="O34" s="16" t="n"/>
      <c r="P34" s="21">
        <f>IF($A34="","",IF(COUNTIF($A$4:$A$103,$A34)&gt;1,"Código duplicado",IF(COUNT($C34:$N34)&lt;&gt;12,"Parâmetros incompletos",IF(OR($C34&lt;0,$C34&gt;=$D34,$D34&gt;5),"Limiares de demanda inválidos",IF(OR($J34&lt;0,$J34&gt;=$K34,$K34&gt;5),"Limiares de estoque inválidos",IF(OR($G34&lt;0,$G34&gt;0.5,$N34&lt;=0,$N34&gt;0.5,ABS($E34)&gt;0.5,ABS($F34)&gt;0.5,ABS($H34)&gt;0.5,ABS($I34)&gt;0.5,ABS($L34)&gt;0.5,ABS($M34)&gt;0.5),"Ajustes ou limite inválidos",IF($O34&lt;&gt;"Sim","Regra inativa","OK")))))))</f>
        <v/>
      </c>
    </row>
    <row r="35">
      <c r="A35" s="16" t="n"/>
      <c r="B35" s="16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6" t="n"/>
      <c r="P35" s="21">
        <f>IF($A35="","",IF(COUNTIF($A$4:$A$103,$A35)&gt;1,"Código duplicado",IF(COUNT($C35:$N35)&lt;&gt;12,"Parâmetros incompletos",IF(OR($C35&lt;0,$C35&gt;=$D35,$D35&gt;5),"Limiares de demanda inválidos",IF(OR($J35&lt;0,$J35&gt;=$K35,$K35&gt;5),"Limiares de estoque inválidos",IF(OR($G35&lt;0,$G35&gt;0.5,$N35&lt;=0,$N35&gt;0.5,ABS($E35)&gt;0.5,ABS($F35)&gt;0.5,ABS($H35)&gt;0.5,ABS($I35)&gt;0.5,ABS($L35)&gt;0.5,ABS($M35)&gt;0.5),"Ajustes ou limite inválidos",IF($O35&lt;&gt;"Sim","Regra inativa","OK")))))))</f>
        <v/>
      </c>
    </row>
    <row r="36">
      <c r="A36" s="16" t="n"/>
      <c r="B36" s="16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8" t="n"/>
      <c r="O36" s="16" t="n"/>
      <c r="P36" s="21">
        <f>IF($A36="","",IF(COUNTIF($A$4:$A$103,$A36)&gt;1,"Código duplicado",IF(COUNT($C36:$N36)&lt;&gt;12,"Parâmetros incompletos",IF(OR($C36&lt;0,$C36&gt;=$D36,$D36&gt;5),"Limiares de demanda inválidos",IF(OR($J36&lt;0,$J36&gt;=$K36,$K36&gt;5),"Limiares de estoque inválidos",IF(OR($G36&lt;0,$G36&gt;0.5,$N36&lt;=0,$N36&gt;0.5,ABS($E36)&gt;0.5,ABS($F36)&gt;0.5,ABS($H36)&gt;0.5,ABS($I36)&gt;0.5,ABS($L36)&gt;0.5,ABS($M36)&gt;0.5),"Ajustes ou limite inválidos",IF($O36&lt;&gt;"Sim","Regra inativa","OK")))))))</f>
        <v/>
      </c>
    </row>
    <row r="37">
      <c r="A37" s="16" t="n"/>
      <c r="B37" s="16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6" t="n"/>
      <c r="P37" s="21">
        <f>IF($A37="","",IF(COUNTIF($A$4:$A$103,$A37)&gt;1,"Código duplicado",IF(COUNT($C37:$N37)&lt;&gt;12,"Parâmetros incompletos",IF(OR($C37&lt;0,$C37&gt;=$D37,$D37&gt;5),"Limiares de demanda inválidos",IF(OR($J37&lt;0,$J37&gt;=$K37,$K37&gt;5),"Limiares de estoque inválidos",IF(OR($G37&lt;0,$G37&gt;0.5,$N37&lt;=0,$N37&gt;0.5,ABS($E37)&gt;0.5,ABS($F37)&gt;0.5,ABS($H37)&gt;0.5,ABS($I37)&gt;0.5,ABS($L37)&gt;0.5,ABS($M37)&gt;0.5),"Ajustes ou limite inválidos",IF($O37&lt;&gt;"Sim","Regra inativa","OK")))))))</f>
        <v/>
      </c>
    </row>
    <row r="38">
      <c r="A38" s="16" t="n"/>
      <c r="B38" s="16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  <c r="O38" s="16" t="n"/>
      <c r="P38" s="21">
        <f>IF($A38="","",IF(COUNTIF($A$4:$A$103,$A38)&gt;1,"Código duplicado",IF(COUNT($C38:$N38)&lt;&gt;12,"Parâmetros incompletos",IF(OR($C38&lt;0,$C38&gt;=$D38,$D38&gt;5),"Limiares de demanda inválidos",IF(OR($J38&lt;0,$J38&gt;=$K38,$K38&gt;5),"Limiares de estoque inválidos",IF(OR($G38&lt;0,$G38&gt;0.5,$N38&lt;=0,$N38&gt;0.5,ABS($E38)&gt;0.5,ABS($F38)&gt;0.5,ABS($H38)&gt;0.5,ABS($I38)&gt;0.5,ABS($L38)&gt;0.5,ABS($M38)&gt;0.5),"Ajustes ou limite inválidos",IF($O38&lt;&gt;"Sim","Regra inativa","OK")))))))</f>
        <v/>
      </c>
    </row>
    <row r="39">
      <c r="A39" s="16" t="n"/>
      <c r="B39" s="16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6" t="n"/>
      <c r="P39" s="21">
        <f>IF($A39="","",IF(COUNTIF($A$4:$A$103,$A39)&gt;1,"Código duplicado",IF(COUNT($C39:$N39)&lt;&gt;12,"Parâmetros incompletos",IF(OR($C39&lt;0,$C39&gt;=$D39,$D39&gt;5),"Limiares de demanda inválidos",IF(OR($J39&lt;0,$J39&gt;=$K39,$K39&gt;5),"Limiares de estoque inválidos",IF(OR($G39&lt;0,$G39&gt;0.5,$N39&lt;=0,$N39&gt;0.5,ABS($E39)&gt;0.5,ABS($F39)&gt;0.5,ABS($H39)&gt;0.5,ABS($I39)&gt;0.5,ABS($L39)&gt;0.5,ABS($M39)&gt;0.5),"Ajustes ou limite inválidos",IF($O39&lt;&gt;"Sim","Regra inativa","OK")))))))</f>
        <v/>
      </c>
    </row>
    <row r="40">
      <c r="A40" s="16" t="n"/>
      <c r="B40" s="16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M40" s="18" t="n"/>
      <c r="N40" s="18" t="n"/>
      <c r="O40" s="16" t="n"/>
      <c r="P40" s="21">
        <f>IF($A40="","",IF(COUNTIF($A$4:$A$103,$A40)&gt;1,"Código duplicado",IF(COUNT($C40:$N40)&lt;&gt;12,"Parâmetros incompletos",IF(OR($C40&lt;0,$C40&gt;=$D40,$D40&gt;5),"Limiares de demanda inválidos",IF(OR($J40&lt;0,$J40&gt;=$K40,$K40&gt;5),"Limiares de estoque inválidos",IF(OR($G40&lt;0,$G40&gt;0.5,$N40&lt;=0,$N40&gt;0.5,ABS($E40)&gt;0.5,ABS($F40)&gt;0.5,ABS($H40)&gt;0.5,ABS($I40)&gt;0.5,ABS($L40)&gt;0.5,ABS($M40)&gt;0.5),"Ajustes ou limite inválidos",IF($O40&lt;&gt;"Sim","Regra inativa","OK")))))))</f>
        <v/>
      </c>
    </row>
    <row r="41">
      <c r="A41" s="16" t="n"/>
      <c r="B41" s="16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6" t="n"/>
      <c r="P41" s="21">
        <f>IF($A41="","",IF(COUNTIF($A$4:$A$103,$A41)&gt;1,"Código duplicado",IF(COUNT($C41:$N41)&lt;&gt;12,"Parâmetros incompletos",IF(OR($C41&lt;0,$C41&gt;=$D41,$D41&gt;5),"Limiares de demanda inválidos",IF(OR($J41&lt;0,$J41&gt;=$K41,$K41&gt;5),"Limiares de estoque inválidos",IF(OR($G41&lt;0,$G41&gt;0.5,$N41&lt;=0,$N41&gt;0.5,ABS($E41)&gt;0.5,ABS($F41)&gt;0.5,ABS($H41)&gt;0.5,ABS($I41)&gt;0.5,ABS($L41)&gt;0.5,ABS($M41)&gt;0.5),"Ajustes ou limite inválidos",IF($O41&lt;&gt;"Sim","Regra inativa","OK")))))))</f>
        <v/>
      </c>
    </row>
    <row r="42">
      <c r="A42" s="16" t="n"/>
      <c r="B42" s="16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8" t="n"/>
      <c r="O42" s="16" t="n"/>
      <c r="P42" s="21">
        <f>IF($A42="","",IF(COUNTIF($A$4:$A$103,$A42)&gt;1,"Código duplicado",IF(COUNT($C42:$N42)&lt;&gt;12,"Parâmetros incompletos",IF(OR($C42&lt;0,$C42&gt;=$D42,$D42&gt;5),"Limiares de demanda inválidos",IF(OR($J42&lt;0,$J42&gt;=$K42,$K42&gt;5),"Limiares de estoque inválidos",IF(OR($G42&lt;0,$G42&gt;0.5,$N42&lt;=0,$N42&gt;0.5,ABS($E42)&gt;0.5,ABS($F42)&gt;0.5,ABS($H42)&gt;0.5,ABS($I42)&gt;0.5,ABS($L42)&gt;0.5,ABS($M42)&gt;0.5),"Ajustes ou limite inválidos",IF($O42&lt;&gt;"Sim","Regra inativa","OK")))))))</f>
        <v/>
      </c>
    </row>
    <row r="43">
      <c r="A43" s="16" t="n"/>
      <c r="B43" s="16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6" t="n"/>
      <c r="P43" s="21">
        <f>IF($A43="","",IF(COUNTIF($A$4:$A$103,$A43)&gt;1,"Código duplicado",IF(COUNT($C43:$N43)&lt;&gt;12,"Parâmetros incompletos",IF(OR($C43&lt;0,$C43&gt;=$D43,$D43&gt;5),"Limiares de demanda inválidos",IF(OR($J43&lt;0,$J43&gt;=$K43,$K43&gt;5),"Limiares de estoque inválidos",IF(OR($G43&lt;0,$G43&gt;0.5,$N43&lt;=0,$N43&gt;0.5,ABS($E43)&gt;0.5,ABS($F43)&gt;0.5,ABS($H43)&gt;0.5,ABS($I43)&gt;0.5,ABS($L43)&gt;0.5,ABS($M43)&gt;0.5),"Ajustes ou limite inválidos",IF($O43&lt;&gt;"Sim","Regra inativa","OK")))))))</f>
        <v/>
      </c>
    </row>
    <row r="44">
      <c r="A44" s="16" t="n"/>
      <c r="B44" s="16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M44" s="18" t="n"/>
      <c r="N44" s="18" t="n"/>
      <c r="O44" s="16" t="n"/>
      <c r="P44" s="21">
        <f>IF($A44="","",IF(COUNTIF($A$4:$A$103,$A44)&gt;1,"Código duplicado",IF(COUNT($C44:$N44)&lt;&gt;12,"Parâmetros incompletos",IF(OR($C44&lt;0,$C44&gt;=$D44,$D44&gt;5),"Limiares de demanda inválidos",IF(OR($J44&lt;0,$J44&gt;=$K44,$K44&gt;5),"Limiares de estoque inválidos",IF(OR($G44&lt;0,$G44&gt;0.5,$N44&lt;=0,$N44&gt;0.5,ABS($E44)&gt;0.5,ABS($F44)&gt;0.5,ABS($H44)&gt;0.5,ABS($I44)&gt;0.5,ABS($L44)&gt;0.5,ABS($M44)&gt;0.5),"Ajustes ou limite inválidos",IF($O44&lt;&gt;"Sim","Regra inativa","OK")))))))</f>
        <v/>
      </c>
    </row>
    <row r="45">
      <c r="A45" s="16" t="n"/>
      <c r="B45" s="16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6" t="n"/>
      <c r="P45" s="21">
        <f>IF($A45="","",IF(COUNTIF($A$4:$A$103,$A45)&gt;1,"Código duplicado",IF(COUNT($C45:$N45)&lt;&gt;12,"Parâmetros incompletos",IF(OR($C45&lt;0,$C45&gt;=$D45,$D45&gt;5),"Limiares de demanda inválidos",IF(OR($J45&lt;0,$J45&gt;=$K45,$K45&gt;5),"Limiares de estoque inválidos",IF(OR($G45&lt;0,$G45&gt;0.5,$N45&lt;=0,$N45&gt;0.5,ABS($E45)&gt;0.5,ABS($F45)&gt;0.5,ABS($H45)&gt;0.5,ABS($I45)&gt;0.5,ABS($L45)&gt;0.5,ABS($M45)&gt;0.5),"Ajustes ou limite inválidos",IF($O45&lt;&gt;"Sim","Regra inativa","OK")))))))</f>
        <v/>
      </c>
    </row>
    <row r="46">
      <c r="A46" s="16" t="n"/>
      <c r="B46" s="16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8" t="n"/>
      <c r="O46" s="16" t="n"/>
      <c r="P46" s="21">
        <f>IF($A46="","",IF(COUNTIF($A$4:$A$103,$A46)&gt;1,"Código duplicado",IF(COUNT($C46:$N46)&lt;&gt;12,"Parâmetros incompletos",IF(OR($C46&lt;0,$C46&gt;=$D46,$D46&gt;5),"Limiares de demanda inválidos",IF(OR($J46&lt;0,$J46&gt;=$K46,$K46&gt;5),"Limiares de estoque inválidos",IF(OR($G46&lt;0,$G46&gt;0.5,$N46&lt;=0,$N46&gt;0.5,ABS($E46)&gt;0.5,ABS($F46)&gt;0.5,ABS($H46)&gt;0.5,ABS($I46)&gt;0.5,ABS($L46)&gt;0.5,ABS($M46)&gt;0.5),"Ajustes ou limite inválidos",IF($O46&lt;&gt;"Sim","Regra inativa","OK")))))))</f>
        <v/>
      </c>
    </row>
    <row r="47">
      <c r="A47" s="16" t="n"/>
      <c r="B47" s="16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6" t="n"/>
      <c r="P47" s="21">
        <f>IF($A47="","",IF(COUNTIF($A$4:$A$103,$A47)&gt;1,"Código duplicado",IF(COUNT($C47:$N47)&lt;&gt;12,"Parâmetros incompletos",IF(OR($C47&lt;0,$C47&gt;=$D47,$D47&gt;5),"Limiares de demanda inválidos",IF(OR($J47&lt;0,$J47&gt;=$K47,$K47&gt;5),"Limiares de estoque inválidos",IF(OR($G47&lt;0,$G47&gt;0.5,$N47&lt;=0,$N47&gt;0.5,ABS($E47)&gt;0.5,ABS($F47)&gt;0.5,ABS($H47)&gt;0.5,ABS($I47)&gt;0.5,ABS($L47)&gt;0.5,ABS($M47)&gt;0.5),"Ajustes ou limite inválidos",IF($O47&lt;&gt;"Sim","Regra inativa","OK")))))))</f>
        <v/>
      </c>
    </row>
    <row r="48">
      <c r="A48" s="16" t="n"/>
      <c r="B48" s="16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8" t="n"/>
      <c r="O48" s="16" t="n"/>
      <c r="P48" s="21">
        <f>IF($A48="","",IF(COUNTIF($A$4:$A$103,$A48)&gt;1,"Código duplicado",IF(COUNT($C48:$N48)&lt;&gt;12,"Parâmetros incompletos",IF(OR($C48&lt;0,$C48&gt;=$D48,$D48&gt;5),"Limiares de demanda inválidos",IF(OR($J48&lt;0,$J48&gt;=$K48,$K48&gt;5),"Limiares de estoque inválidos",IF(OR($G48&lt;0,$G48&gt;0.5,$N48&lt;=0,$N48&gt;0.5,ABS($E48)&gt;0.5,ABS($F48)&gt;0.5,ABS($H48)&gt;0.5,ABS($I48)&gt;0.5,ABS($L48)&gt;0.5,ABS($M48)&gt;0.5),"Ajustes ou limite inválidos",IF($O48&lt;&gt;"Sim","Regra inativa","OK")))))))</f>
        <v/>
      </c>
    </row>
    <row r="49">
      <c r="A49" s="16" t="n"/>
      <c r="B49" s="16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6" t="n"/>
      <c r="P49" s="21">
        <f>IF($A49="","",IF(COUNTIF($A$4:$A$103,$A49)&gt;1,"Código duplicado",IF(COUNT($C49:$N49)&lt;&gt;12,"Parâmetros incompletos",IF(OR($C49&lt;0,$C49&gt;=$D49,$D49&gt;5),"Limiares de demanda inválidos",IF(OR($J49&lt;0,$J49&gt;=$K49,$K49&gt;5),"Limiares de estoque inválidos",IF(OR($G49&lt;0,$G49&gt;0.5,$N49&lt;=0,$N49&gt;0.5,ABS($E49)&gt;0.5,ABS($F49)&gt;0.5,ABS($H49)&gt;0.5,ABS($I49)&gt;0.5,ABS($L49)&gt;0.5,ABS($M49)&gt;0.5),"Ajustes ou limite inválidos",IF($O49&lt;&gt;"Sim","Regra inativa","OK")))))))</f>
        <v/>
      </c>
    </row>
    <row r="50">
      <c r="A50" s="16" t="n"/>
      <c r="B50" s="16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18" t="n"/>
      <c r="N50" s="18" t="n"/>
      <c r="O50" s="16" t="n"/>
      <c r="P50" s="21">
        <f>IF($A50="","",IF(COUNTIF($A$4:$A$103,$A50)&gt;1,"Código duplicado",IF(COUNT($C50:$N50)&lt;&gt;12,"Parâmetros incompletos",IF(OR($C50&lt;0,$C50&gt;=$D50,$D50&gt;5),"Limiares de demanda inválidos",IF(OR($J50&lt;0,$J50&gt;=$K50,$K50&gt;5),"Limiares de estoque inválidos",IF(OR($G50&lt;0,$G50&gt;0.5,$N50&lt;=0,$N50&gt;0.5,ABS($E50)&gt;0.5,ABS($F50)&gt;0.5,ABS($H50)&gt;0.5,ABS($I50)&gt;0.5,ABS($L50)&gt;0.5,ABS($M50)&gt;0.5),"Ajustes ou limite inválidos",IF($O50&lt;&gt;"Sim","Regra inativa","OK")))))))</f>
        <v/>
      </c>
    </row>
    <row r="51">
      <c r="A51" s="16" t="n"/>
      <c r="B51" s="16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6" t="n"/>
      <c r="P51" s="21">
        <f>IF($A51="","",IF(COUNTIF($A$4:$A$103,$A51)&gt;1,"Código duplicado",IF(COUNT($C51:$N51)&lt;&gt;12,"Parâmetros incompletos",IF(OR($C51&lt;0,$C51&gt;=$D51,$D51&gt;5),"Limiares de demanda inválidos",IF(OR($J51&lt;0,$J51&gt;=$K51,$K51&gt;5),"Limiares de estoque inválidos",IF(OR($G51&lt;0,$G51&gt;0.5,$N51&lt;=0,$N51&gt;0.5,ABS($E51)&gt;0.5,ABS($F51)&gt;0.5,ABS($H51)&gt;0.5,ABS($I51)&gt;0.5,ABS($L51)&gt;0.5,ABS($M51)&gt;0.5),"Ajustes ou limite inválidos",IF($O51&lt;&gt;"Sim","Regra inativa","OK")))))))</f>
        <v/>
      </c>
    </row>
    <row r="52">
      <c r="A52" s="16" t="n"/>
      <c r="B52" s="16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18" t="n"/>
      <c r="O52" s="16" t="n"/>
      <c r="P52" s="21">
        <f>IF($A52="","",IF(COUNTIF($A$4:$A$103,$A52)&gt;1,"Código duplicado",IF(COUNT($C52:$N52)&lt;&gt;12,"Parâmetros incompletos",IF(OR($C52&lt;0,$C52&gt;=$D52,$D52&gt;5),"Limiares de demanda inválidos",IF(OR($J52&lt;0,$J52&gt;=$K52,$K52&gt;5),"Limiares de estoque inválidos",IF(OR($G52&lt;0,$G52&gt;0.5,$N52&lt;=0,$N52&gt;0.5,ABS($E52)&gt;0.5,ABS($F52)&gt;0.5,ABS($H52)&gt;0.5,ABS($I52)&gt;0.5,ABS($L52)&gt;0.5,ABS($M52)&gt;0.5),"Ajustes ou limite inválidos",IF($O52&lt;&gt;"Sim","Regra inativa","OK")))))))</f>
        <v/>
      </c>
    </row>
    <row r="53">
      <c r="A53" s="16" t="n"/>
      <c r="B53" s="16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6" t="n"/>
      <c r="P53" s="21">
        <f>IF($A53="","",IF(COUNTIF($A$4:$A$103,$A53)&gt;1,"Código duplicado",IF(COUNT($C53:$N53)&lt;&gt;12,"Parâmetros incompletos",IF(OR($C53&lt;0,$C53&gt;=$D53,$D53&gt;5),"Limiares de demanda inválidos",IF(OR($J53&lt;0,$J53&gt;=$K53,$K53&gt;5),"Limiares de estoque inválidos",IF(OR($G53&lt;0,$G53&gt;0.5,$N53&lt;=0,$N53&gt;0.5,ABS($E53)&gt;0.5,ABS($F53)&gt;0.5,ABS($H53)&gt;0.5,ABS($I53)&gt;0.5,ABS($L53)&gt;0.5,ABS($M53)&gt;0.5),"Ajustes ou limite inválidos",IF($O53&lt;&gt;"Sim","Regra inativa","OK")))))))</f>
        <v/>
      </c>
    </row>
    <row r="54">
      <c r="A54" s="16" t="n"/>
      <c r="B54" s="16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M54" s="18" t="n"/>
      <c r="N54" s="18" t="n"/>
      <c r="O54" s="16" t="n"/>
      <c r="P54" s="21">
        <f>IF($A54="","",IF(COUNTIF($A$4:$A$103,$A54)&gt;1,"Código duplicado",IF(COUNT($C54:$N54)&lt;&gt;12,"Parâmetros incompletos",IF(OR($C54&lt;0,$C54&gt;=$D54,$D54&gt;5),"Limiares de demanda inválidos",IF(OR($J54&lt;0,$J54&gt;=$K54,$K54&gt;5),"Limiares de estoque inválidos",IF(OR($G54&lt;0,$G54&gt;0.5,$N54&lt;=0,$N54&gt;0.5,ABS($E54)&gt;0.5,ABS($F54)&gt;0.5,ABS($H54)&gt;0.5,ABS($I54)&gt;0.5,ABS($L54)&gt;0.5,ABS($M54)&gt;0.5),"Ajustes ou limite inválidos",IF($O54&lt;&gt;"Sim","Regra inativa","OK")))))))</f>
        <v/>
      </c>
    </row>
    <row r="55">
      <c r="A55" s="16" t="n"/>
      <c r="B55" s="16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6" t="n"/>
      <c r="P55" s="21">
        <f>IF($A55="","",IF(COUNTIF($A$4:$A$103,$A55)&gt;1,"Código duplicado",IF(COUNT($C55:$N55)&lt;&gt;12,"Parâmetros incompletos",IF(OR($C55&lt;0,$C55&gt;=$D55,$D55&gt;5),"Limiares de demanda inválidos",IF(OR($J55&lt;0,$J55&gt;=$K55,$K55&gt;5),"Limiares de estoque inválidos",IF(OR($G55&lt;0,$G55&gt;0.5,$N55&lt;=0,$N55&gt;0.5,ABS($E55)&gt;0.5,ABS($F55)&gt;0.5,ABS($H55)&gt;0.5,ABS($I55)&gt;0.5,ABS($L55)&gt;0.5,ABS($M55)&gt;0.5),"Ajustes ou limite inválidos",IF($O55&lt;&gt;"Sim","Regra inativa","OK")))))))</f>
        <v/>
      </c>
    </row>
    <row r="56">
      <c r="A56" s="16" t="n"/>
      <c r="B56" s="16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  <c r="O56" s="16" t="n"/>
      <c r="P56" s="21">
        <f>IF($A56="","",IF(COUNTIF($A$4:$A$103,$A56)&gt;1,"Código duplicado",IF(COUNT($C56:$N56)&lt;&gt;12,"Parâmetros incompletos",IF(OR($C56&lt;0,$C56&gt;=$D56,$D56&gt;5),"Limiares de demanda inválidos",IF(OR($J56&lt;0,$J56&gt;=$K56,$K56&gt;5),"Limiares de estoque inválidos",IF(OR($G56&lt;0,$G56&gt;0.5,$N56&lt;=0,$N56&gt;0.5,ABS($E56)&gt;0.5,ABS($F56)&gt;0.5,ABS($H56)&gt;0.5,ABS($I56)&gt;0.5,ABS($L56)&gt;0.5,ABS($M56)&gt;0.5),"Ajustes ou limite inválidos",IF($O56&lt;&gt;"Sim","Regra inativa","OK")))))))</f>
        <v/>
      </c>
    </row>
    <row r="57">
      <c r="A57" s="16" t="n"/>
      <c r="B57" s="16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6" t="n"/>
      <c r="P57" s="21">
        <f>IF($A57="","",IF(COUNTIF($A$4:$A$103,$A57)&gt;1,"Código duplicado",IF(COUNT($C57:$N57)&lt;&gt;12,"Parâmetros incompletos",IF(OR($C57&lt;0,$C57&gt;=$D57,$D57&gt;5),"Limiares de demanda inválidos",IF(OR($J57&lt;0,$J57&gt;=$K57,$K57&gt;5),"Limiares de estoque inválidos",IF(OR($G57&lt;0,$G57&gt;0.5,$N57&lt;=0,$N57&gt;0.5,ABS($E57)&gt;0.5,ABS($F57)&gt;0.5,ABS($H57)&gt;0.5,ABS($I57)&gt;0.5,ABS($L57)&gt;0.5,ABS($M57)&gt;0.5),"Ajustes ou limite inválidos",IF($O57&lt;&gt;"Sim","Regra inativa","OK")))))))</f>
        <v/>
      </c>
    </row>
    <row r="58">
      <c r="A58" s="16" t="n"/>
      <c r="B58" s="16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  <c r="O58" s="16" t="n"/>
      <c r="P58" s="21">
        <f>IF($A58="","",IF(COUNTIF($A$4:$A$103,$A58)&gt;1,"Código duplicado",IF(COUNT($C58:$N58)&lt;&gt;12,"Parâmetros incompletos",IF(OR($C58&lt;0,$C58&gt;=$D58,$D58&gt;5),"Limiares de demanda inválidos",IF(OR($J58&lt;0,$J58&gt;=$K58,$K58&gt;5),"Limiares de estoque inválidos",IF(OR($G58&lt;0,$G58&gt;0.5,$N58&lt;=0,$N58&gt;0.5,ABS($E58)&gt;0.5,ABS($F58)&gt;0.5,ABS($H58)&gt;0.5,ABS($I58)&gt;0.5,ABS($L58)&gt;0.5,ABS($M58)&gt;0.5),"Ajustes ou limite inválidos",IF($O58&lt;&gt;"Sim","Regra inativa","OK")))))))</f>
        <v/>
      </c>
    </row>
    <row r="59">
      <c r="A59" s="16" t="n"/>
      <c r="B59" s="16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6" t="n"/>
      <c r="P59" s="21">
        <f>IF($A59="","",IF(COUNTIF($A$4:$A$103,$A59)&gt;1,"Código duplicado",IF(COUNT($C59:$N59)&lt;&gt;12,"Parâmetros incompletos",IF(OR($C59&lt;0,$C59&gt;=$D59,$D59&gt;5),"Limiares de demanda inválidos",IF(OR($J59&lt;0,$J59&gt;=$K59,$K59&gt;5),"Limiares de estoque inválidos",IF(OR($G59&lt;0,$G59&gt;0.5,$N59&lt;=0,$N59&gt;0.5,ABS($E59)&gt;0.5,ABS($F59)&gt;0.5,ABS($H59)&gt;0.5,ABS($I59)&gt;0.5,ABS($L59)&gt;0.5,ABS($M59)&gt;0.5),"Ajustes ou limite inválidos",IF($O59&lt;&gt;"Sim","Regra inativa","OK")))))))</f>
        <v/>
      </c>
    </row>
    <row r="60">
      <c r="A60" s="16" t="n"/>
      <c r="B60" s="16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M60" s="18" t="n"/>
      <c r="N60" s="18" t="n"/>
      <c r="O60" s="16" t="n"/>
      <c r="P60" s="21">
        <f>IF($A60="","",IF(COUNTIF($A$4:$A$103,$A60)&gt;1,"Código duplicado",IF(COUNT($C60:$N60)&lt;&gt;12,"Parâmetros incompletos",IF(OR($C60&lt;0,$C60&gt;=$D60,$D60&gt;5),"Limiares de demanda inválidos",IF(OR($J60&lt;0,$J60&gt;=$K60,$K60&gt;5),"Limiares de estoque inválidos",IF(OR($G60&lt;0,$G60&gt;0.5,$N60&lt;=0,$N60&gt;0.5,ABS($E60)&gt;0.5,ABS($F60)&gt;0.5,ABS($H60)&gt;0.5,ABS($I60)&gt;0.5,ABS($L60)&gt;0.5,ABS($M60)&gt;0.5),"Ajustes ou limite inválidos",IF($O60&lt;&gt;"Sim","Regra inativa","OK")))))))</f>
        <v/>
      </c>
    </row>
    <row r="61">
      <c r="A61" s="16" t="n"/>
      <c r="B61" s="16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6" t="n"/>
      <c r="P61" s="21">
        <f>IF($A61="","",IF(COUNTIF($A$4:$A$103,$A61)&gt;1,"Código duplicado",IF(COUNT($C61:$N61)&lt;&gt;12,"Parâmetros incompletos",IF(OR($C61&lt;0,$C61&gt;=$D61,$D61&gt;5),"Limiares de demanda inválidos",IF(OR($J61&lt;0,$J61&gt;=$K61,$K61&gt;5),"Limiares de estoque inválidos",IF(OR($G61&lt;0,$G61&gt;0.5,$N61&lt;=0,$N61&gt;0.5,ABS($E61)&gt;0.5,ABS($F61)&gt;0.5,ABS($H61)&gt;0.5,ABS($I61)&gt;0.5,ABS($L61)&gt;0.5,ABS($M61)&gt;0.5),"Ajustes ou limite inválidos",IF($O61&lt;&gt;"Sim","Regra inativa","OK")))))))</f>
        <v/>
      </c>
    </row>
    <row r="62">
      <c r="A62" s="16" t="n"/>
      <c r="B62" s="16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M62" s="18" t="n"/>
      <c r="N62" s="18" t="n"/>
      <c r="O62" s="16" t="n"/>
      <c r="P62" s="21">
        <f>IF($A62="","",IF(COUNTIF($A$4:$A$103,$A62)&gt;1,"Código duplicado",IF(COUNT($C62:$N62)&lt;&gt;12,"Parâmetros incompletos",IF(OR($C62&lt;0,$C62&gt;=$D62,$D62&gt;5),"Limiares de demanda inválidos",IF(OR($J62&lt;0,$J62&gt;=$K62,$K62&gt;5),"Limiares de estoque inválidos",IF(OR($G62&lt;0,$G62&gt;0.5,$N62&lt;=0,$N62&gt;0.5,ABS($E62)&gt;0.5,ABS($F62)&gt;0.5,ABS($H62)&gt;0.5,ABS($I62)&gt;0.5,ABS($L62)&gt;0.5,ABS($M62)&gt;0.5),"Ajustes ou limite inválidos",IF($O62&lt;&gt;"Sim","Regra inativa","OK")))))))</f>
        <v/>
      </c>
    </row>
    <row r="63">
      <c r="A63" s="16" t="n"/>
      <c r="B63" s="16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6" t="n"/>
      <c r="P63" s="21">
        <f>IF($A63="","",IF(COUNTIF($A$4:$A$103,$A63)&gt;1,"Código duplicado",IF(COUNT($C63:$N63)&lt;&gt;12,"Parâmetros incompletos",IF(OR($C63&lt;0,$C63&gt;=$D63,$D63&gt;5),"Limiares de demanda inválidos",IF(OR($J63&lt;0,$J63&gt;=$K63,$K63&gt;5),"Limiares de estoque inválidos",IF(OR($G63&lt;0,$G63&gt;0.5,$N63&lt;=0,$N63&gt;0.5,ABS($E63)&gt;0.5,ABS($F63)&gt;0.5,ABS($H63)&gt;0.5,ABS($I63)&gt;0.5,ABS($L63)&gt;0.5,ABS($M63)&gt;0.5),"Ajustes ou limite inválidos",IF($O63&lt;&gt;"Sim","Regra inativa","OK")))))))</f>
        <v/>
      </c>
    </row>
    <row r="64">
      <c r="A64" s="16" t="n"/>
      <c r="B64" s="16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8" t="n"/>
      <c r="O64" s="16" t="n"/>
      <c r="P64" s="21">
        <f>IF($A64="","",IF(COUNTIF($A$4:$A$103,$A64)&gt;1,"Código duplicado",IF(COUNT($C64:$N64)&lt;&gt;12,"Parâmetros incompletos",IF(OR($C64&lt;0,$C64&gt;=$D64,$D64&gt;5),"Limiares de demanda inválidos",IF(OR($J64&lt;0,$J64&gt;=$K64,$K64&gt;5),"Limiares de estoque inválidos",IF(OR($G64&lt;0,$G64&gt;0.5,$N64&lt;=0,$N64&gt;0.5,ABS($E64)&gt;0.5,ABS($F64)&gt;0.5,ABS($H64)&gt;0.5,ABS($I64)&gt;0.5,ABS($L64)&gt;0.5,ABS($M64)&gt;0.5),"Ajustes ou limite inválidos",IF($O64&lt;&gt;"Sim","Regra inativa","OK")))))))</f>
        <v/>
      </c>
    </row>
    <row r="65">
      <c r="A65" s="16" t="n"/>
      <c r="B65" s="16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6" t="n"/>
      <c r="P65" s="21">
        <f>IF($A65="","",IF(COUNTIF($A$4:$A$103,$A65)&gt;1,"Código duplicado",IF(COUNT($C65:$N65)&lt;&gt;12,"Parâmetros incompletos",IF(OR($C65&lt;0,$C65&gt;=$D65,$D65&gt;5),"Limiares de demanda inválidos",IF(OR($J65&lt;0,$J65&gt;=$K65,$K65&gt;5),"Limiares de estoque inválidos",IF(OR($G65&lt;0,$G65&gt;0.5,$N65&lt;=0,$N65&gt;0.5,ABS($E65)&gt;0.5,ABS($F65)&gt;0.5,ABS($H65)&gt;0.5,ABS($I65)&gt;0.5,ABS($L65)&gt;0.5,ABS($M65)&gt;0.5),"Ajustes ou limite inválidos",IF($O65&lt;&gt;"Sim","Regra inativa","OK")))))))</f>
        <v/>
      </c>
    </row>
    <row r="66">
      <c r="A66" s="16" t="n"/>
      <c r="B66" s="16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  <c r="O66" s="16" t="n"/>
      <c r="P66" s="21">
        <f>IF($A66="","",IF(COUNTIF($A$4:$A$103,$A66)&gt;1,"Código duplicado",IF(COUNT($C66:$N66)&lt;&gt;12,"Parâmetros incompletos",IF(OR($C66&lt;0,$C66&gt;=$D66,$D66&gt;5),"Limiares de demanda inválidos",IF(OR($J66&lt;0,$J66&gt;=$K66,$K66&gt;5),"Limiares de estoque inválidos",IF(OR($G66&lt;0,$G66&gt;0.5,$N66&lt;=0,$N66&gt;0.5,ABS($E66)&gt;0.5,ABS($F66)&gt;0.5,ABS($H66)&gt;0.5,ABS($I66)&gt;0.5,ABS($L66)&gt;0.5,ABS($M66)&gt;0.5),"Ajustes ou limite inválidos",IF($O66&lt;&gt;"Sim","Regra inativa","OK")))))))</f>
        <v/>
      </c>
    </row>
    <row r="67">
      <c r="A67" s="16" t="n"/>
      <c r="B67" s="16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6" t="n"/>
      <c r="P67" s="21">
        <f>IF($A67="","",IF(COUNTIF($A$4:$A$103,$A67)&gt;1,"Código duplicado",IF(COUNT($C67:$N67)&lt;&gt;12,"Parâmetros incompletos",IF(OR($C67&lt;0,$C67&gt;=$D67,$D67&gt;5),"Limiares de demanda inválidos",IF(OR($J67&lt;0,$J67&gt;=$K67,$K67&gt;5),"Limiares de estoque inválidos",IF(OR($G67&lt;0,$G67&gt;0.5,$N67&lt;=0,$N67&gt;0.5,ABS($E67)&gt;0.5,ABS($F67)&gt;0.5,ABS($H67)&gt;0.5,ABS($I67)&gt;0.5,ABS($L67)&gt;0.5,ABS($M67)&gt;0.5),"Ajustes ou limite inválidos",IF($O67&lt;&gt;"Sim","Regra inativa","OK")))))))</f>
        <v/>
      </c>
    </row>
    <row r="68">
      <c r="A68" s="16" t="n"/>
      <c r="B68" s="16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M68" s="18" t="n"/>
      <c r="N68" s="18" t="n"/>
      <c r="O68" s="16" t="n"/>
      <c r="P68" s="21">
        <f>IF($A68="","",IF(COUNTIF($A$4:$A$103,$A68)&gt;1,"Código duplicado",IF(COUNT($C68:$N68)&lt;&gt;12,"Parâmetros incompletos",IF(OR($C68&lt;0,$C68&gt;=$D68,$D68&gt;5),"Limiares de demanda inválidos",IF(OR($J68&lt;0,$J68&gt;=$K68,$K68&gt;5),"Limiares de estoque inválidos",IF(OR($G68&lt;0,$G68&gt;0.5,$N68&lt;=0,$N68&gt;0.5,ABS($E68)&gt;0.5,ABS($F68)&gt;0.5,ABS($H68)&gt;0.5,ABS($I68)&gt;0.5,ABS($L68)&gt;0.5,ABS($M68)&gt;0.5),"Ajustes ou limite inválidos",IF($O68&lt;&gt;"Sim","Regra inativa","OK")))))))</f>
        <v/>
      </c>
    </row>
    <row r="69">
      <c r="A69" s="16" t="n"/>
      <c r="B69" s="16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6" t="n"/>
      <c r="P69" s="21">
        <f>IF($A69="","",IF(COUNTIF($A$4:$A$103,$A69)&gt;1,"Código duplicado",IF(COUNT($C69:$N69)&lt;&gt;12,"Parâmetros incompletos",IF(OR($C69&lt;0,$C69&gt;=$D69,$D69&gt;5),"Limiares de demanda inválidos",IF(OR($J69&lt;0,$J69&gt;=$K69,$K69&gt;5),"Limiares de estoque inválidos",IF(OR($G69&lt;0,$G69&gt;0.5,$N69&lt;=0,$N69&gt;0.5,ABS($E69)&gt;0.5,ABS($F69)&gt;0.5,ABS($H69)&gt;0.5,ABS($I69)&gt;0.5,ABS($L69)&gt;0.5,ABS($M69)&gt;0.5),"Ajustes ou limite inválidos",IF($O69&lt;&gt;"Sim","Regra inativa","OK")))))))</f>
        <v/>
      </c>
    </row>
    <row r="70">
      <c r="A70" s="16" t="n"/>
      <c r="B70" s="16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8" t="n"/>
      <c r="O70" s="16" t="n"/>
      <c r="P70" s="21">
        <f>IF($A70="","",IF(COUNTIF($A$4:$A$103,$A70)&gt;1,"Código duplicado",IF(COUNT($C70:$N70)&lt;&gt;12,"Parâmetros incompletos",IF(OR($C70&lt;0,$C70&gt;=$D70,$D70&gt;5),"Limiares de demanda inválidos",IF(OR($J70&lt;0,$J70&gt;=$K70,$K70&gt;5),"Limiares de estoque inválidos",IF(OR($G70&lt;0,$G70&gt;0.5,$N70&lt;=0,$N70&gt;0.5,ABS($E70)&gt;0.5,ABS($F70)&gt;0.5,ABS($H70)&gt;0.5,ABS($I70)&gt;0.5,ABS($L70)&gt;0.5,ABS($M70)&gt;0.5),"Ajustes ou limite inválidos",IF($O70&lt;&gt;"Sim","Regra inativa","OK")))))))</f>
        <v/>
      </c>
    </row>
    <row r="71">
      <c r="A71" s="16" t="n"/>
      <c r="B71" s="16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6" t="n"/>
      <c r="P71" s="21">
        <f>IF($A71="","",IF(COUNTIF($A$4:$A$103,$A71)&gt;1,"Código duplicado",IF(COUNT($C71:$N71)&lt;&gt;12,"Parâmetros incompletos",IF(OR($C71&lt;0,$C71&gt;=$D71,$D71&gt;5),"Limiares de demanda inválidos",IF(OR($J71&lt;0,$J71&gt;=$K71,$K71&gt;5),"Limiares de estoque inválidos",IF(OR($G71&lt;0,$G71&gt;0.5,$N71&lt;=0,$N71&gt;0.5,ABS($E71)&gt;0.5,ABS($F71)&gt;0.5,ABS($H71)&gt;0.5,ABS($I71)&gt;0.5,ABS($L71)&gt;0.5,ABS($M71)&gt;0.5),"Ajustes ou limite inválidos",IF($O71&lt;&gt;"Sim","Regra inativa","OK")))))))</f>
        <v/>
      </c>
    </row>
    <row r="72">
      <c r="A72" s="16" t="n"/>
      <c r="B72" s="16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M72" s="18" t="n"/>
      <c r="N72" s="18" t="n"/>
      <c r="O72" s="16" t="n"/>
      <c r="P72" s="21">
        <f>IF($A72="","",IF(COUNTIF($A$4:$A$103,$A72)&gt;1,"Código duplicado",IF(COUNT($C72:$N72)&lt;&gt;12,"Parâmetros incompletos",IF(OR($C72&lt;0,$C72&gt;=$D72,$D72&gt;5),"Limiares de demanda inválidos",IF(OR($J72&lt;0,$J72&gt;=$K72,$K72&gt;5),"Limiares de estoque inválidos",IF(OR($G72&lt;0,$G72&gt;0.5,$N72&lt;=0,$N72&gt;0.5,ABS($E72)&gt;0.5,ABS($F72)&gt;0.5,ABS($H72)&gt;0.5,ABS($I72)&gt;0.5,ABS($L72)&gt;0.5,ABS($M72)&gt;0.5),"Ajustes ou limite inválidos",IF($O72&lt;&gt;"Sim","Regra inativa","OK")))))))</f>
        <v/>
      </c>
    </row>
    <row r="73">
      <c r="A73" s="16" t="n"/>
      <c r="B73" s="16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6" t="n"/>
      <c r="P73" s="21">
        <f>IF($A73="","",IF(COUNTIF($A$4:$A$103,$A73)&gt;1,"Código duplicado",IF(COUNT($C73:$N73)&lt;&gt;12,"Parâmetros incompletos",IF(OR($C73&lt;0,$C73&gt;=$D73,$D73&gt;5),"Limiares de demanda inválidos",IF(OR($J73&lt;0,$J73&gt;=$K73,$K73&gt;5),"Limiares de estoque inválidos",IF(OR($G73&lt;0,$G73&gt;0.5,$N73&lt;=0,$N73&gt;0.5,ABS($E73)&gt;0.5,ABS($F73)&gt;0.5,ABS($H73)&gt;0.5,ABS($I73)&gt;0.5,ABS($L73)&gt;0.5,ABS($M73)&gt;0.5),"Ajustes ou limite inválidos",IF($O73&lt;&gt;"Sim","Regra inativa","OK")))))))</f>
        <v/>
      </c>
    </row>
    <row r="74">
      <c r="A74" s="16" t="n"/>
      <c r="B74" s="16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M74" s="18" t="n"/>
      <c r="N74" s="18" t="n"/>
      <c r="O74" s="16" t="n"/>
      <c r="P74" s="21">
        <f>IF($A74="","",IF(COUNTIF($A$4:$A$103,$A74)&gt;1,"Código duplicado",IF(COUNT($C74:$N74)&lt;&gt;12,"Parâmetros incompletos",IF(OR($C74&lt;0,$C74&gt;=$D74,$D74&gt;5),"Limiares de demanda inválidos",IF(OR($J74&lt;0,$J74&gt;=$K74,$K74&gt;5),"Limiares de estoque inválidos",IF(OR($G74&lt;0,$G74&gt;0.5,$N74&lt;=0,$N74&gt;0.5,ABS($E74)&gt;0.5,ABS($F74)&gt;0.5,ABS($H74)&gt;0.5,ABS($I74)&gt;0.5,ABS($L74)&gt;0.5,ABS($M74)&gt;0.5),"Ajustes ou limite inválidos",IF($O74&lt;&gt;"Sim","Regra inativa","OK")))))))</f>
        <v/>
      </c>
    </row>
    <row r="75">
      <c r="A75" s="16" t="n"/>
      <c r="B75" s="16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6" t="n"/>
      <c r="P75" s="21">
        <f>IF($A75="","",IF(COUNTIF($A$4:$A$103,$A75)&gt;1,"Código duplicado",IF(COUNT($C75:$N75)&lt;&gt;12,"Parâmetros incompletos",IF(OR($C75&lt;0,$C75&gt;=$D75,$D75&gt;5),"Limiares de demanda inválidos",IF(OR($J75&lt;0,$J75&gt;=$K75,$K75&gt;5),"Limiares de estoque inválidos",IF(OR($G75&lt;0,$G75&gt;0.5,$N75&lt;=0,$N75&gt;0.5,ABS($E75)&gt;0.5,ABS($F75)&gt;0.5,ABS($H75)&gt;0.5,ABS($I75)&gt;0.5,ABS($L75)&gt;0.5,ABS($M75)&gt;0.5),"Ajustes ou limite inválidos",IF($O75&lt;&gt;"Sim","Regra inativa","OK")))))))</f>
        <v/>
      </c>
    </row>
    <row r="76">
      <c r="A76" s="16" t="n"/>
      <c r="B76" s="16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M76" s="18" t="n"/>
      <c r="N76" s="18" t="n"/>
      <c r="O76" s="16" t="n"/>
      <c r="P76" s="21">
        <f>IF($A76="","",IF(COUNTIF($A$4:$A$103,$A76)&gt;1,"Código duplicado",IF(COUNT($C76:$N76)&lt;&gt;12,"Parâmetros incompletos",IF(OR($C76&lt;0,$C76&gt;=$D76,$D76&gt;5),"Limiares de demanda inválidos",IF(OR($J76&lt;0,$J76&gt;=$K76,$K76&gt;5),"Limiares de estoque inválidos",IF(OR($G76&lt;0,$G76&gt;0.5,$N76&lt;=0,$N76&gt;0.5,ABS($E76)&gt;0.5,ABS($F76)&gt;0.5,ABS($H76)&gt;0.5,ABS($I76)&gt;0.5,ABS($L76)&gt;0.5,ABS($M76)&gt;0.5),"Ajustes ou limite inválidos",IF($O76&lt;&gt;"Sim","Regra inativa","OK")))))))</f>
        <v/>
      </c>
    </row>
    <row r="77">
      <c r="A77" s="16" t="n"/>
      <c r="B77" s="16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18" t="n"/>
      <c r="N77" s="18" t="n"/>
      <c r="O77" s="16" t="n"/>
      <c r="P77" s="21">
        <f>IF($A77="","",IF(COUNTIF($A$4:$A$103,$A77)&gt;1,"Código duplicado",IF(COUNT($C77:$N77)&lt;&gt;12,"Parâmetros incompletos",IF(OR($C77&lt;0,$C77&gt;=$D77,$D77&gt;5),"Limiares de demanda inválidos",IF(OR($J77&lt;0,$J77&gt;=$K77,$K77&gt;5),"Limiares de estoque inválidos",IF(OR($G77&lt;0,$G77&gt;0.5,$N77&lt;=0,$N77&gt;0.5,ABS($E77)&gt;0.5,ABS($F77)&gt;0.5,ABS($H77)&gt;0.5,ABS($I77)&gt;0.5,ABS($L77)&gt;0.5,ABS($M77)&gt;0.5),"Ajustes ou limite inválidos",IF($O77&lt;&gt;"Sim","Regra inativa","OK")))))))</f>
        <v/>
      </c>
    </row>
    <row r="78">
      <c r="A78" s="16" t="n"/>
      <c r="B78" s="16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M78" s="18" t="n"/>
      <c r="N78" s="18" t="n"/>
      <c r="O78" s="16" t="n"/>
      <c r="P78" s="21">
        <f>IF($A78="","",IF(COUNTIF($A$4:$A$103,$A78)&gt;1,"Código duplicado",IF(COUNT($C78:$N78)&lt;&gt;12,"Parâmetros incompletos",IF(OR($C78&lt;0,$C78&gt;=$D78,$D78&gt;5),"Limiares de demanda inválidos",IF(OR($J78&lt;0,$J78&gt;=$K78,$K78&gt;5),"Limiares de estoque inválidos",IF(OR($G78&lt;0,$G78&gt;0.5,$N78&lt;=0,$N78&gt;0.5,ABS($E78)&gt;0.5,ABS($F78)&gt;0.5,ABS($H78)&gt;0.5,ABS($I78)&gt;0.5,ABS($L78)&gt;0.5,ABS($M78)&gt;0.5),"Ajustes ou limite inválidos",IF($O78&lt;&gt;"Sim","Regra inativa","OK")))))))</f>
        <v/>
      </c>
    </row>
    <row r="79">
      <c r="A79" s="16" t="n"/>
      <c r="B79" s="16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M79" s="18" t="n"/>
      <c r="N79" s="18" t="n"/>
      <c r="O79" s="16" t="n"/>
      <c r="P79" s="21">
        <f>IF($A79="","",IF(COUNTIF($A$4:$A$103,$A79)&gt;1,"Código duplicado",IF(COUNT($C79:$N79)&lt;&gt;12,"Parâmetros incompletos",IF(OR($C79&lt;0,$C79&gt;=$D79,$D79&gt;5),"Limiares de demanda inválidos",IF(OR($J79&lt;0,$J79&gt;=$K79,$K79&gt;5),"Limiares de estoque inválidos",IF(OR($G79&lt;0,$G79&gt;0.5,$N79&lt;=0,$N79&gt;0.5,ABS($E79)&gt;0.5,ABS($F79)&gt;0.5,ABS($H79)&gt;0.5,ABS($I79)&gt;0.5,ABS($L79)&gt;0.5,ABS($M79)&gt;0.5),"Ajustes ou limite inválidos",IF($O79&lt;&gt;"Sim","Regra inativa","OK")))))))</f>
        <v/>
      </c>
    </row>
    <row r="80">
      <c r="A80" s="16" t="n"/>
      <c r="B80" s="16" t="n"/>
      <c r="C80" s="18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M80" s="18" t="n"/>
      <c r="N80" s="18" t="n"/>
      <c r="O80" s="16" t="n"/>
      <c r="P80" s="21">
        <f>IF($A80="","",IF(COUNTIF($A$4:$A$103,$A80)&gt;1,"Código duplicado",IF(COUNT($C80:$N80)&lt;&gt;12,"Parâmetros incompletos",IF(OR($C80&lt;0,$C80&gt;=$D80,$D80&gt;5),"Limiares de demanda inválidos",IF(OR($J80&lt;0,$J80&gt;=$K80,$K80&gt;5),"Limiares de estoque inválidos",IF(OR($G80&lt;0,$G80&gt;0.5,$N80&lt;=0,$N80&gt;0.5,ABS($E80)&gt;0.5,ABS($F80)&gt;0.5,ABS($H80)&gt;0.5,ABS($I80)&gt;0.5,ABS($L80)&gt;0.5,ABS($M80)&gt;0.5),"Ajustes ou limite inválidos",IF($O80&lt;&gt;"Sim","Regra inativa","OK")))))))</f>
        <v/>
      </c>
    </row>
    <row r="81">
      <c r="A81" s="16" t="n"/>
      <c r="B81" s="16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M81" s="18" t="n"/>
      <c r="N81" s="18" t="n"/>
      <c r="O81" s="16" t="n"/>
      <c r="P81" s="21">
        <f>IF($A81="","",IF(COUNTIF($A$4:$A$103,$A81)&gt;1,"Código duplicado",IF(COUNT($C81:$N81)&lt;&gt;12,"Parâmetros incompletos",IF(OR($C81&lt;0,$C81&gt;=$D81,$D81&gt;5),"Limiares de demanda inválidos",IF(OR($J81&lt;0,$J81&gt;=$K81,$K81&gt;5),"Limiares de estoque inválidos",IF(OR($G81&lt;0,$G81&gt;0.5,$N81&lt;=0,$N81&gt;0.5,ABS($E81)&gt;0.5,ABS($F81)&gt;0.5,ABS($H81)&gt;0.5,ABS($I81)&gt;0.5,ABS($L81)&gt;0.5,ABS($M81)&gt;0.5),"Ajustes ou limite inválidos",IF($O81&lt;&gt;"Sim","Regra inativa","OK")))))))</f>
        <v/>
      </c>
    </row>
    <row r="82">
      <c r="A82" s="16" t="n"/>
      <c r="B82" s="16" t="n"/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M82" s="18" t="n"/>
      <c r="N82" s="18" t="n"/>
      <c r="O82" s="16" t="n"/>
      <c r="P82" s="21">
        <f>IF($A82="","",IF(COUNTIF($A$4:$A$103,$A82)&gt;1,"Código duplicado",IF(COUNT($C82:$N82)&lt;&gt;12,"Parâmetros incompletos",IF(OR($C82&lt;0,$C82&gt;=$D82,$D82&gt;5),"Limiares de demanda inválidos",IF(OR($J82&lt;0,$J82&gt;=$K82,$K82&gt;5),"Limiares de estoque inválidos",IF(OR($G82&lt;0,$G82&gt;0.5,$N82&lt;=0,$N82&gt;0.5,ABS($E82)&gt;0.5,ABS($F82)&gt;0.5,ABS($H82)&gt;0.5,ABS($I82)&gt;0.5,ABS($L82)&gt;0.5,ABS($M82)&gt;0.5),"Ajustes ou limite inválidos",IF($O82&lt;&gt;"Sim","Regra inativa","OK")))))))</f>
        <v/>
      </c>
    </row>
    <row r="83">
      <c r="A83" s="16" t="n"/>
      <c r="B83" s="16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M83" s="18" t="n"/>
      <c r="N83" s="18" t="n"/>
      <c r="O83" s="16" t="n"/>
      <c r="P83" s="21">
        <f>IF($A83="","",IF(COUNTIF($A$4:$A$103,$A83)&gt;1,"Código duplicado",IF(COUNT($C83:$N83)&lt;&gt;12,"Parâmetros incompletos",IF(OR($C83&lt;0,$C83&gt;=$D83,$D83&gt;5),"Limiares de demanda inválidos",IF(OR($J83&lt;0,$J83&gt;=$K83,$K83&gt;5),"Limiares de estoque inválidos",IF(OR($G83&lt;0,$G83&gt;0.5,$N83&lt;=0,$N83&gt;0.5,ABS($E83)&gt;0.5,ABS($F83)&gt;0.5,ABS($H83)&gt;0.5,ABS($I83)&gt;0.5,ABS($L83)&gt;0.5,ABS($M83)&gt;0.5),"Ajustes ou limite inválidos",IF($O83&lt;&gt;"Sim","Regra inativa","OK")))))))</f>
        <v/>
      </c>
    </row>
    <row r="84">
      <c r="A84" s="16" t="n"/>
      <c r="B84" s="16" t="n"/>
      <c r="C84" s="18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M84" s="18" t="n"/>
      <c r="N84" s="18" t="n"/>
      <c r="O84" s="16" t="n"/>
      <c r="P84" s="21">
        <f>IF($A84="","",IF(COUNTIF($A$4:$A$103,$A84)&gt;1,"Código duplicado",IF(COUNT($C84:$N84)&lt;&gt;12,"Parâmetros incompletos",IF(OR($C84&lt;0,$C84&gt;=$D84,$D84&gt;5),"Limiares de demanda inválidos",IF(OR($J84&lt;0,$J84&gt;=$K84,$K84&gt;5),"Limiares de estoque inválidos",IF(OR($G84&lt;0,$G84&gt;0.5,$N84&lt;=0,$N84&gt;0.5,ABS($E84)&gt;0.5,ABS($F84)&gt;0.5,ABS($H84)&gt;0.5,ABS($I84)&gt;0.5,ABS($L84)&gt;0.5,ABS($M84)&gt;0.5),"Ajustes ou limite inválidos",IF($O84&lt;&gt;"Sim","Regra inativa","OK")))))))</f>
        <v/>
      </c>
    </row>
    <row r="85">
      <c r="A85" s="16" t="n"/>
      <c r="B85" s="16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M85" s="18" t="n"/>
      <c r="N85" s="18" t="n"/>
      <c r="O85" s="16" t="n"/>
      <c r="P85" s="21">
        <f>IF($A85="","",IF(COUNTIF($A$4:$A$103,$A85)&gt;1,"Código duplicado",IF(COUNT($C85:$N85)&lt;&gt;12,"Parâmetros incompletos",IF(OR($C85&lt;0,$C85&gt;=$D85,$D85&gt;5),"Limiares de demanda inválidos",IF(OR($J85&lt;0,$J85&gt;=$K85,$K85&gt;5),"Limiares de estoque inválidos",IF(OR($G85&lt;0,$G85&gt;0.5,$N85&lt;=0,$N85&gt;0.5,ABS($E85)&gt;0.5,ABS($F85)&gt;0.5,ABS($H85)&gt;0.5,ABS($I85)&gt;0.5,ABS($L85)&gt;0.5,ABS($M85)&gt;0.5),"Ajustes ou limite inválidos",IF($O85&lt;&gt;"Sim","Regra inativa","OK")))))))</f>
        <v/>
      </c>
    </row>
    <row r="86">
      <c r="A86" s="16" t="n"/>
      <c r="B86" s="16" t="n"/>
      <c r="C86" s="18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M86" s="18" t="n"/>
      <c r="N86" s="18" t="n"/>
      <c r="O86" s="16" t="n"/>
      <c r="P86" s="21">
        <f>IF($A86="","",IF(COUNTIF($A$4:$A$103,$A86)&gt;1,"Código duplicado",IF(COUNT($C86:$N86)&lt;&gt;12,"Parâmetros incompletos",IF(OR($C86&lt;0,$C86&gt;=$D86,$D86&gt;5),"Limiares de demanda inválidos",IF(OR($J86&lt;0,$J86&gt;=$K86,$K86&gt;5),"Limiares de estoque inválidos",IF(OR($G86&lt;0,$G86&gt;0.5,$N86&lt;=0,$N86&gt;0.5,ABS($E86)&gt;0.5,ABS($F86)&gt;0.5,ABS($H86)&gt;0.5,ABS($I86)&gt;0.5,ABS($L86)&gt;0.5,ABS($M86)&gt;0.5),"Ajustes ou limite inválidos",IF($O86&lt;&gt;"Sim","Regra inativa","OK")))))))</f>
        <v/>
      </c>
    </row>
    <row r="87">
      <c r="A87" s="16" t="n"/>
      <c r="B87" s="16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M87" s="18" t="n"/>
      <c r="N87" s="18" t="n"/>
      <c r="O87" s="16" t="n"/>
      <c r="P87" s="21">
        <f>IF($A87="","",IF(COUNTIF($A$4:$A$103,$A87)&gt;1,"Código duplicado",IF(COUNT($C87:$N87)&lt;&gt;12,"Parâmetros incompletos",IF(OR($C87&lt;0,$C87&gt;=$D87,$D87&gt;5),"Limiares de demanda inválidos",IF(OR($J87&lt;0,$J87&gt;=$K87,$K87&gt;5),"Limiares de estoque inválidos",IF(OR($G87&lt;0,$G87&gt;0.5,$N87&lt;=0,$N87&gt;0.5,ABS($E87)&gt;0.5,ABS($F87)&gt;0.5,ABS($H87)&gt;0.5,ABS($I87)&gt;0.5,ABS($L87)&gt;0.5,ABS($M87)&gt;0.5),"Ajustes ou limite inválidos",IF($O87&lt;&gt;"Sim","Regra inativa","OK")))))))</f>
        <v/>
      </c>
    </row>
    <row r="88">
      <c r="A88" s="16" t="n"/>
      <c r="B88" s="16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M88" s="18" t="n"/>
      <c r="N88" s="18" t="n"/>
      <c r="O88" s="16" t="n"/>
      <c r="P88" s="21">
        <f>IF($A88="","",IF(COUNTIF($A$4:$A$103,$A88)&gt;1,"Código duplicado",IF(COUNT($C88:$N88)&lt;&gt;12,"Parâmetros incompletos",IF(OR($C88&lt;0,$C88&gt;=$D88,$D88&gt;5),"Limiares de demanda inválidos",IF(OR($J88&lt;0,$J88&gt;=$K88,$K88&gt;5),"Limiares de estoque inválidos",IF(OR($G88&lt;0,$G88&gt;0.5,$N88&lt;=0,$N88&gt;0.5,ABS($E88)&gt;0.5,ABS($F88)&gt;0.5,ABS($H88)&gt;0.5,ABS($I88)&gt;0.5,ABS($L88)&gt;0.5,ABS($M88)&gt;0.5),"Ajustes ou limite inválidos",IF($O88&lt;&gt;"Sim","Regra inativa","OK")))))))</f>
        <v/>
      </c>
    </row>
    <row r="89">
      <c r="A89" s="16" t="n"/>
      <c r="B89" s="16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M89" s="18" t="n"/>
      <c r="N89" s="18" t="n"/>
      <c r="O89" s="16" t="n"/>
      <c r="P89" s="21">
        <f>IF($A89="","",IF(COUNTIF($A$4:$A$103,$A89)&gt;1,"Código duplicado",IF(COUNT($C89:$N89)&lt;&gt;12,"Parâmetros incompletos",IF(OR($C89&lt;0,$C89&gt;=$D89,$D89&gt;5),"Limiares de demanda inválidos",IF(OR($J89&lt;0,$J89&gt;=$K89,$K89&gt;5),"Limiares de estoque inválidos",IF(OR($G89&lt;0,$G89&gt;0.5,$N89&lt;=0,$N89&gt;0.5,ABS($E89)&gt;0.5,ABS($F89)&gt;0.5,ABS($H89)&gt;0.5,ABS($I89)&gt;0.5,ABS($L89)&gt;0.5,ABS($M89)&gt;0.5),"Ajustes ou limite inválidos",IF($O89&lt;&gt;"Sim","Regra inativa","OK")))))))</f>
        <v/>
      </c>
    </row>
    <row r="90">
      <c r="A90" s="16" t="n"/>
      <c r="B90" s="16" t="n"/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M90" s="18" t="n"/>
      <c r="N90" s="18" t="n"/>
      <c r="O90" s="16" t="n"/>
      <c r="P90" s="21">
        <f>IF($A90="","",IF(COUNTIF($A$4:$A$103,$A90)&gt;1,"Código duplicado",IF(COUNT($C90:$N90)&lt;&gt;12,"Parâmetros incompletos",IF(OR($C90&lt;0,$C90&gt;=$D90,$D90&gt;5),"Limiares de demanda inválidos",IF(OR($J90&lt;0,$J90&gt;=$K90,$K90&gt;5),"Limiares de estoque inválidos",IF(OR($G90&lt;0,$G90&gt;0.5,$N90&lt;=0,$N90&gt;0.5,ABS($E90)&gt;0.5,ABS($F90)&gt;0.5,ABS($H90)&gt;0.5,ABS($I90)&gt;0.5,ABS($L90)&gt;0.5,ABS($M90)&gt;0.5),"Ajustes ou limite inválidos",IF($O90&lt;&gt;"Sim","Regra inativa","OK")))))))</f>
        <v/>
      </c>
    </row>
    <row r="91">
      <c r="A91" s="16" t="n"/>
      <c r="B91" s="16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M91" s="18" t="n"/>
      <c r="N91" s="18" t="n"/>
      <c r="O91" s="16" t="n"/>
      <c r="P91" s="21">
        <f>IF($A91="","",IF(COUNTIF($A$4:$A$103,$A91)&gt;1,"Código duplicado",IF(COUNT($C91:$N91)&lt;&gt;12,"Parâmetros incompletos",IF(OR($C91&lt;0,$C91&gt;=$D91,$D91&gt;5),"Limiares de demanda inválidos",IF(OR($J91&lt;0,$J91&gt;=$K91,$K91&gt;5),"Limiares de estoque inválidos",IF(OR($G91&lt;0,$G91&gt;0.5,$N91&lt;=0,$N91&gt;0.5,ABS($E91)&gt;0.5,ABS($F91)&gt;0.5,ABS($H91)&gt;0.5,ABS($I91)&gt;0.5,ABS($L91)&gt;0.5,ABS($M91)&gt;0.5),"Ajustes ou limite inválidos",IF($O91&lt;&gt;"Sim","Regra inativa","OK")))))))</f>
        <v/>
      </c>
    </row>
    <row r="92">
      <c r="A92" s="16" t="n"/>
      <c r="B92" s="16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M92" s="18" t="n"/>
      <c r="N92" s="18" t="n"/>
      <c r="O92" s="16" t="n"/>
      <c r="P92" s="21">
        <f>IF($A92="","",IF(COUNTIF($A$4:$A$103,$A92)&gt;1,"Código duplicado",IF(COUNT($C92:$N92)&lt;&gt;12,"Parâmetros incompletos",IF(OR($C92&lt;0,$C92&gt;=$D92,$D92&gt;5),"Limiares de demanda inválidos",IF(OR($J92&lt;0,$J92&gt;=$K92,$K92&gt;5),"Limiares de estoque inválidos",IF(OR($G92&lt;0,$G92&gt;0.5,$N92&lt;=0,$N92&gt;0.5,ABS($E92)&gt;0.5,ABS($F92)&gt;0.5,ABS($H92)&gt;0.5,ABS($I92)&gt;0.5,ABS($L92)&gt;0.5,ABS($M92)&gt;0.5),"Ajustes ou limite inválidos",IF($O92&lt;&gt;"Sim","Regra inativa","OK")))))))</f>
        <v/>
      </c>
    </row>
    <row r="93">
      <c r="A93" s="16" t="n"/>
      <c r="B93" s="16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M93" s="18" t="n"/>
      <c r="N93" s="18" t="n"/>
      <c r="O93" s="16" t="n"/>
      <c r="P93" s="21">
        <f>IF($A93="","",IF(COUNTIF($A$4:$A$103,$A93)&gt;1,"Código duplicado",IF(COUNT($C93:$N93)&lt;&gt;12,"Parâmetros incompletos",IF(OR($C93&lt;0,$C93&gt;=$D93,$D93&gt;5),"Limiares de demanda inválidos",IF(OR($J93&lt;0,$J93&gt;=$K93,$K93&gt;5),"Limiares de estoque inválidos",IF(OR($G93&lt;0,$G93&gt;0.5,$N93&lt;=0,$N93&gt;0.5,ABS($E93)&gt;0.5,ABS($F93)&gt;0.5,ABS($H93)&gt;0.5,ABS($I93)&gt;0.5,ABS($L93)&gt;0.5,ABS($M93)&gt;0.5),"Ajustes ou limite inválidos",IF($O93&lt;&gt;"Sim","Regra inativa","OK")))))))</f>
        <v/>
      </c>
    </row>
    <row r="94">
      <c r="A94" s="16" t="n"/>
      <c r="B94" s="16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M94" s="18" t="n"/>
      <c r="N94" s="18" t="n"/>
      <c r="O94" s="16" t="n"/>
      <c r="P94" s="21">
        <f>IF($A94="","",IF(COUNTIF($A$4:$A$103,$A94)&gt;1,"Código duplicado",IF(COUNT($C94:$N94)&lt;&gt;12,"Parâmetros incompletos",IF(OR($C94&lt;0,$C94&gt;=$D94,$D94&gt;5),"Limiares de demanda inválidos",IF(OR($J94&lt;0,$J94&gt;=$K94,$K94&gt;5),"Limiares de estoque inválidos",IF(OR($G94&lt;0,$G94&gt;0.5,$N94&lt;=0,$N94&gt;0.5,ABS($E94)&gt;0.5,ABS($F94)&gt;0.5,ABS($H94)&gt;0.5,ABS($I94)&gt;0.5,ABS($L94)&gt;0.5,ABS($M94)&gt;0.5),"Ajustes ou limite inválidos",IF($O94&lt;&gt;"Sim","Regra inativa","OK")))))))</f>
        <v/>
      </c>
    </row>
    <row r="95">
      <c r="A95" s="16" t="n"/>
      <c r="B95" s="16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M95" s="18" t="n"/>
      <c r="N95" s="18" t="n"/>
      <c r="O95" s="16" t="n"/>
      <c r="P95" s="21">
        <f>IF($A95="","",IF(COUNTIF($A$4:$A$103,$A95)&gt;1,"Código duplicado",IF(COUNT($C95:$N95)&lt;&gt;12,"Parâmetros incompletos",IF(OR($C95&lt;0,$C95&gt;=$D95,$D95&gt;5),"Limiares de demanda inválidos",IF(OR($J95&lt;0,$J95&gt;=$K95,$K95&gt;5),"Limiares de estoque inválidos",IF(OR($G95&lt;0,$G95&gt;0.5,$N95&lt;=0,$N95&gt;0.5,ABS($E95)&gt;0.5,ABS($F95)&gt;0.5,ABS($H95)&gt;0.5,ABS($I95)&gt;0.5,ABS($L95)&gt;0.5,ABS($M95)&gt;0.5),"Ajustes ou limite inválidos",IF($O95&lt;&gt;"Sim","Regra inativa","OK")))))))</f>
        <v/>
      </c>
    </row>
    <row r="96">
      <c r="A96" s="16" t="n"/>
      <c r="B96" s="16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M96" s="18" t="n"/>
      <c r="N96" s="18" t="n"/>
      <c r="O96" s="16" t="n"/>
      <c r="P96" s="21">
        <f>IF($A96="","",IF(COUNTIF($A$4:$A$103,$A96)&gt;1,"Código duplicado",IF(COUNT($C96:$N96)&lt;&gt;12,"Parâmetros incompletos",IF(OR($C96&lt;0,$C96&gt;=$D96,$D96&gt;5),"Limiares de demanda inválidos",IF(OR($J96&lt;0,$J96&gt;=$K96,$K96&gt;5),"Limiares de estoque inválidos",IF(OR($G96&lt;0,$G96&gt;0.5,$N96&lt;=0,$N96&gt;0.5,ABS($E96)&gt;0.5,ABS($F96)&gt;0.5,ABS($H96)&gt;0.5,ABS($I96)&gt;0.5,ABS($L96)&gt;0.5,ABS($M96)&gt;0.5),"Ajustes ou limite inválidos",IF($O96&lt;&gt;"Sim","Regra inativa","OK")))))))</f>
        <v/>
      </c>
    </row>
    <row r="97">
      <c r="A97" s="16" t="n"/>
      <c r="B97" s="16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M97" s="18" t="n"/>
      <c r="N97" s="18" t="n"/>
      <c r="O97" s="16" t="n"/>
      <c r="P97" s="21">
        <f>IF($A97="","",IF(COUNTIF($A$4:$A$103,$A97)&gt;1,"Código duplicado",IF(COUNT($C97:$N97)&lt;&gt;12,"Parâmetros incompletos",IF(OR($C97&lt;0,$C97&gt;=$D97,$D97&gt;5),"Limiares de demanda inválidos",IF(OR($J97&lt;0,$J97&gt;=$K97,$K97&gt;5),"Limiares de estoque inválidos",IF(OR($G97&lt;0,$G97&gt;0.5,$N97&lt;=0,$N97&gt;0.5,ABS($E97)&gt;0.5,ABS($F97)&gt;0.5,ABS($H97)&gt;0.5,ABS($I97)&gt;0.5,ABS($L97)&gt;0.5,ABS($M97)&gt;0.5),"Ajustes ou limite inválidos",IF($O97&lt;&gt;"Sim","Regra inativa","OK")))))))</f>
        <v/>
      </c>
    </row>
    <row r="98">
      <c r="A98" s="16" t="n"/>
      <c r="B98" s="16" t="n"/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M98" s="18" t="n"/>
      <c r="N98" s="18" t="n"/>
      <c r="O98" s="16" t="n"/>
      <c r="P98" s="21">
        <f>IF($A98="","",IF(COUNTIF($A$4:$A$103,$A98)&gt;1,"Código duplicado",IF(COUNT($C98:$N98)&lt;&gt;12,"Parâmetros incompletos",IF(OR($C98&lt;0,$C98&gt;=$D98,$D98&gt;5),"Limiares de demanda inválidos",IF(OR($J98&lt;0,$J98&gt;=$K98,$K98&gt;5),"Limiares de estoque inválidos",IF(OR($G98&lt;0,$G98&gt;0.5,$N98&lt;=0,$N98&gt;0.5,ABS($E98)&gt;0.5,ABS($F98)&gt;0.5,ABS($H98)&gt;0.5,ABS($I98)&gt;0.5,ABS($L98)&gt;0.5,ABS($M98)&gt;0.5),"Ajustes ou limite inválidos",IF($O98&lt;&gt;"Sim","Regra inativa","OK")))))))</f>
        <v/>
      </c>
    </row>
    <row r="99">
      <c r="A99" s="16" t="n"/>
      <c r="B99" s="16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M99" s="18" t="n"/>
      <c r="N99" s="18" t="n"/>
      <c r="O99" s="16" t="n"/>
      <c r="P99" s="21">
        <f>IF($A99="","",IF(COUNTIF($A$4:$A$103,$A99)&gt;1,"Código duplicado",IF(COUNT($C99:$N99)&lt;&gt;12,"Parâmetros incompletos",IF(OR($C99&lt;0,$C99&gt;=$D99,$D99&gt;5),"Limiares de demanda inválidos",IF(OR($J99&lt;0,$J99&gt;=$K99,$K99&gt;5),"Limiares de estoque inválidos",IF(OR($G99&lt;0,$G99&gt;0.5,$N99&lt;=0,$N99&gt;0.5,ABS($E99)&gt;0.5,ABS($F99)&gt;0.5,ABS($H99)&gt;0.5,ABS($I99)&gt;0.5,ABS($L99)&gt;0.5,ABS($M99)&gt;0.5),"Ajustes ou limite inválidos",IF($O99&lt;&gt;"Sim","Regra inativa","OK")))))))</f>
        <v/>
      </c>
    </row>
    <row r="100">
      <c r="A100" s="16" t="n"/>
      <c r="B100" s="16" t="n"/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M100" s="18" t="n"/>
      <c r="N100" s="18" t="n"/>
      <c r="O100" s="16" t="n"/>
      <c r="P100" s="21">
        <f>IF($A100="","",IF(COUNTIF($A$4:$A$103,$A100)&gt;1,"Código duplicado",IF(COUNT($C100:$N100)&lt;&gt;12,"Parâmetros incompletos",IF(OR($C100&lt;0,$C100&gt;=$D100,$D100&gt;5),"Limiares de demanda inválidos",IF(OR($J100&lt;0,$J100&gt;=$K100,$K100&gt;5),"Limiares de estoque inválidos",IF(OR($G100&lt;0,$G100&gt;0.5,$N100&lt;=0,$N100&gt;0.5,ABS($E100)&gt;0.5,ABS($F100)&gt;0.5,ABS($H100)&gt;0.5,ABS($I100)&gt;0.5,ABS($L100)&gt;0.5,ABS($M100)&gt;0.5),"Ajustes ou limite inválidos",IF($O100&lt;&gt;"Sim","Regra inativa","OK")))))))</f>
        <v/>
      </c>
    </row>
    <row r="101">
      <c r="A101" s="16" t="n"/>
      <c r="B101" s="16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18" t="n"/>
      <c r="N101" s="18" t="n"/>
      <c r="O101" s="16" t="n"/>
      <c r="P101" s="21">
        <f>IF($A101="","",IF(COUNTIF($A$4:$A$103,$A101)&gt;1,"Código duplicado",IF(COUNT($C101:$N101)&lt;&gt;12,"Parâmetros incompletos",IF(OR($C101&lt;0,$C101&gt;=$D101,$D101&gt;5),"Limiares de demanda inválidos",IF(OR($J101&lt;0,$J101&gt;=$K101,$K101&gt;5),"Limiares de estoque inválidos",IF(OR($G101&lt;0,$G101&gt;0.5,$N101&lt;=0,$N101&gt;0.5,ABS($E101)&gt;0.5,ABS($F101)&gt;0.5,ABS($H101)&gt;0.5,ABS($I101)&gt;0.5,ABS($L101)&gt;0.5,ABS($M101)&gt;0.5),"Ajustes ou limite inválidos",IF($O101&lt;&gt;"Sim","Regra inativa","OK")))))))</f>
        <v/>
      </c>
    </row>
    <row r="102">
      <c r="A102" s="16" t="n"/>
      <c r="B102" s="16" t="n"/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M102" s="18" t="n"/>
      <c r="N102" s="18" t="n"/>
      <c r="O102" s="16" t="n"/>
      <c r="P102" s="21">
        <f>IF($A102="","",IF(COUNTIF($A$4:$A$103,$A102)&gt;1,"Código duplicado",IF(COUNT($C102:$N102)&lt;&gt;12,"Parâmetros incompletos",IF(OR($C102&lt;0,$C102&gt;=$D102,$D102&gt;5),"Limiares de demanda inválidos",IF(OR($J102&lt;0,$J102&gt;=$K102,$K102&gt;5),"Limiares de estoque inválidos",IF(OR($G102&lt;0,$G102&gt;0.5,$N102&lt;=0,$N102&gt;0.5,ABS($E102)&gt;0.5,ABS($F102)&gt;0.5,ABS($H102)&gt;0.5,ABS($I102)&gt;0.5,ABS($L102)&gt;0.5,ABS($M102)&gt;0.5),"Ajustes ou limite inválidos",IF($O102&lt;&gt;"Sim","Regra inativa","OK")))))))</f>
        <v/>
      </c>
    </row>
    <row r="103">
      <c r="A103" s="16" t="n"/>
      <c r="B103" s="16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18" t="n"/>
      <c r="N103" s="18" t="n"/>
      <c r="O103" s="16" t="n"/>
      <c r="P103" s="21">
        <f>IF($A103="","",IF(COUNTIF($A$4:$A$103,$A103)&gt;1,"Código duplicado",IF(COUNT($C103:$N103)&lt;&gt;12,"Parâmetros incompletos",IF(OR($C103&lt;0,$C103&gt;=$D103,$D103&gt;5),"Limiares de demanda inválidos",IF(OR($J103&lt;0,$J103&gt;=$K103,$K103&gt;5),"Limiares de estoque inválidos",IF(OR($G103&lt;0,$G103&gt;0.5,$N103&lt;=0,$N103&gt;0.5,ABS($E103)&gt;0.5,ABS($F103)&gt;0.5,ABS($H103)&gt;0.5,ABS($I103)&gt;0.5,ABS($L103)&gt;0.5,ABS($M103)&gt;0.5),"Ajustes ou limite inválidos",IF($O103&lt;&gt;"Sim","Regra inativa","OK")))))))</f>
        <v/>
      </c>
    </row>
  </sheetData>
  <mergeCells count="1">
    <mergeCell ref="A1:P1"/>
  </mergeCells>
  <conditionalFormatting sqref="P4:P103">
    <cfRule type="expression" priority="1" dxfId="0">
      <formula>=$P4="OK"</formula>
    </cfRule>
    <cfRule type="expression" priority="2" dxfId="1">
      <formula>=AND($P4&lt;&gt;"",$P4&lt;&gt;"OK")</formula>
    </cfRule>
  </conditionalFormatting>
  <conditionalFormatting sqref="A4:A103">
    <cfRule type="expression" priority="3" dxfId="1">
      <formula>=AND($A4&lt;&gt;"",COUNTIF($A$4:$A$103,$A4)&gt;1)</formula>
    </cfRule>
  </conditionalFormatting>
  <dataValidations count="6">
    <dataValidation sqref="A4:A103" showDropDown="0" showInputMessage="0" showErrorMessage="1" allowBlank="0" errorTitle="Código duplicado" error="O código da regra deve ser único." type="custom">
      <formula1>=OR($A4="",COUNTIF($A$4:$A$103,$A4)=1)</formula1>
    </dataValidation>
    <dataValidation sqref="C4:D103 J4:K103" showDropDown="0" showInputMessage="0" showErrorMessage="1" allowBlank="0" errorTitle="Limiar inválido" error="Informe um percentual entre 0% e 500%." type="decimal" operator="between">
      <formula1>0</formula1>
      <formula2>5</formula2>
    </dataValidation>
    <dataValidation sqref="E4:F103 H4:I103 L4:M103" showDropDown="0" showInputMessage="0" showErrorMessage="1" allowBlank="0" errorTitle="Ajuste inválido" error="Informe um ajuste entre -50% e 50%." type="decimal" operator="between">
      <formula1>-0.5</formula1>
      <formula2>0.5</formula2>
    </dataValidation>
    <dataValidation sqref="G4:G103" showDropDown="0" showInputMessage="0" showErrorMessage="1" allowBlank="0" errorTitle="Diferença inválida" error="Informe um percentual entre 0% e 50%." type="decimal" operator="between">
      <formula1>0</formula1>
      <formula2>0.5</formula2>
    </dataValidation>
    <dataValidation sqref="N4:N103" showDropDown="0" showInputMessage="0" showErrorMessage="1" allowBlank="0" errorTitle="Limite inválido" error="Informe um limite maior que 0% e menor ou igual a 50%." type="decimal" operator="between">
      <formula1>0.0000001</formula1>
      <formula2>0.5</formula2>
    </dataValidation>
    <dataValidation sqref="O4:O103" showDropDown="0" showInputMessage="0" showErrorMessage="1" allowBlank="0" errorTitle="Opção inválida" error="Selecione Sim ou Não." type="list">
      <formula1>"Sim,Não"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2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5" customWidth="1" min="4" max="4"/>
    <col width="14" customWidth="1" min="5" max="5"/>
    <col width="16" customWidth="1" min="6" max="6"/>
    <col width="16" customWidth="1" min="7" max="7"/>
    <col width="16" customWidth="1" min="8" max="8"/>
    <col width="24" customWidth="1" min="9" max="9"/>
    <col width="18" customWidth="1" min="10" max="10"/>
    <col width="37" customWidth="1" min="11" max="11"/>
    <col width="30" customWidth="1" min="12" max="12"/>
    <col width="37" customWidth="1" min="13" max="13"/>
    <col width="15" customWidth="1" min="14" max="14"/>
    <col width="14" customWidth="1" min="15" max="15"/>
    <col width="15" customWidth="1" min="16" max="16"/>
    <col width="15" customWidth="1" min="17" max="17"/>
    <col width="15" customWidth="1" min="18" max="18"/>
    <col width="14" customWidth="1" min="19" max="19"/>
    <col width="17" customWidth="1" min="20" max="20"/>
    <col width="20" customWidth="1" min="21" max="21"/>
    <col width="17" customWidth="1" min="22" max="22"/>
    <col width="18" customWidth="1" min="23" max="23"/>
    <col width="16" customWidth="1" min="24" max="24"/>
    <col width="16" customWidth="1" min="25" max="25"/>
    <col width="18" customWidth="1" min="26" max="26"/>
    <col width="19" customWidth="1" min="27" max="27"/>
    <col width="16" customWidth="1" min="28" max="28"/>
    <col width="43" customWidth="1" min="29" max="29"/>
    <col width="50" customWidth="1" min="30" max="30"/>
    <col width="18" customWidth="1" min="31" max="31"/>
    <col width="29" customWidth="1" min="32" max="32"/>
    <col width="17" customWidth="1" min="33" max="33"/>
  </cols>
  <sheetData>
    <row r="1" ht="28" customHeight="1">
      <c r="A1" s="1" t="inlineStr">
        <is>
          <t>Rodadas de precificação dinâmica</t>
        </is>
      </c>
    </row>
    <row r="2" ht="28" customHeight="1">
      <c r="A2" s="2" t="inlineStr">
        <is>
          <t>Preencha as colunas amarelas. As recomendações respeitam o limite da regra, o piso vigente e o teto.</t>
        </is>
      </c>
    </row>
    <row r="3"/>
    <row r="4" ht="38" customHeight="1">
      <c r="A4" s="6" t="inlineStr">
        <is>
          <t>ID da rodada</t>
        </is>
      </c>
      <c r="B4" s="6" t="inlineStr">
        <is>
          <t>Data da rodada</t>
        </is>
      </c>
      <c r="C4" s="6" t="inlineStr">
        <is>
          <t>SKU</t>
        </is>
      </c>
      <c r="D4" s="6" t="inlineStr">
        <is>
          <t>Regra aplicada</t>
        </is>
      </c>
      <c r="E4" s="6" t="inlineStr">
        <is>
          <t>Preço atual</t>
        </is>
      </c>
      <c r="F4" s="6" t="inlineStr">
        <is>
          <t>Índice de demanda</t>
        </is>
      </c>
      <c r="G4" s="6" t="inlineStr">
        <is>
          <t>Preço concorrente</t>
        </is>
      </c>
      <c r="H4" s="6" t="inlineStr">
        <is>
          <t>Estoque disponível</t>
        </is>
      </c>
      <c r="I4" s="6" t="inlineStr">
        <is>
          <t>Decisão</t>
        </is>
      </c>
      <c r="J4" s="6" t="inlineStr">
        <is>
          <t>Preço manual aprovado</t>
        </is>
      </c>
      <c r="K4" s="6" t="inlineStr">
        <is>
          <t>Observação</t>
        </is>
      </c>
      <c r="L4" s="6" t="inlineStr">
        <is>
          <t>Produto</t>
        </is>
      </c>
      <c r="M4" s="6" t="inlineStr">
        <is>
          <t>Canal principal</t>
        </is>
      </c>
      <c r="N4" s="6" t="inlineStr">
        <is>
          <t>Custo unitário</t>
        </is>
      </c>
      <c r="O4" s="6" t="inlineStr">
        <is>
          <t>Margem mínima</t>
        </is>
      </c>
      <c r="P4" s="6" t="inlineStr">
        <is>
          <t>Piso por margem</t>
        </is>
      </c>
      <c r="Q4" s="6" t="inlineStr">
        <is>
          <t>Piso vigente</t>
        </is>
      </c>
      <c r="R4" s="6" t="inlineStr">
        <is>
          <t>Teto de preço</t>
        </is>
      </c>
      <c r="S4" s="6" t="inlineStr">
        <is>
          <t>Estoque-alvo</t>
        </is>
      </c>
      <c r="T4" s="6" t="inlineStr">
        <is>
          <t>Ajuste de demanda</t>
        </is>
      </c>
      <c r="U4" s="6" t="inlineStr">
        <is>
          <t>Ajuste de concorrência</t>
        </is>
      </c>
      <c r="V4" s="6" t="inlineStr">
        <is>
          <t>Ajuste de estoque</t>
        </is>
      </c>
      <c r="W4" s="6" t="inlineStr">
        <is>
          <t>Ajuste total bruto</t>
        </is>
      </c>
      <c r="X4" s="6" t="inlineStr">
        <is>
          <t>Ajuste aplicado</t>
        </is>
      </c>
      <c r="Y4" s="6" t="inlineStr">
        <is>
          <t>Preço sem trava</t>
        </is>
      </c>
      <c r="Z4" s="6" t="inlineStr">
        <is>
          <t>Preço recomendado</t>
        </is>
      </c>
      <c r="AA4" s="6" t="inlineStr">
        <is>
          <t>Variação recomendada</t>
        </is>
      </c>
      <c r="AB4" s="6" t="inlineStr">
        <is>
          <t>Trava aplicada</t>
        </is>
      </c>
      <c r="AC4" s="6" t="inlineStr">
        <is>
          <t>Motivo do ajuste</t>
        </is>
      </c>
      <c r="AD4" s="6" t="inlineStr">
        <is>
          <t>Alertas da recomendação</t>
        </is>
      </c>
      <c r="AE4" s="6" t="inlineStr">
        <is>
          <t>Preço final da rodada</t>
        </is>
      </c>
      <c r="AF4" s="6" t="inlineStr">
        <is>
          <t>Checagem da decisão</t>
        </is>
      </c>
      <c r="AG4" s="6" t="inlineStr">
        <is>
          <t>Situação da linha</t>
        </is>
      </c>
    </row>
    <row r="5">
      <c r="A5" s="16" t="inlineStr">
        <is>
          <t>RD-FIC-0001</t>
        </is>
      </c>
      <c r="B5" s="24" t="n">
        <v>46266</v>
      </c>
      <c r="C5" s="16" t="inlineStr">
        <is>
          <t>FIC-001</t>
        </is>
      </c>
      <c r="D5" s="16" t="inlineStr">
        <is>
          <t>R-BASE</t>
        </is>
      </c>
      <c r="E5" s="17" t="n">
        <v>99.90000000000001</v>
      </c>
      <c r="F5" s="18" t="n">
        <v>1.2</v>
      </c>
      <c r="G5" s="17" t="n">
        <v>104.9</v>
      </c>
      <c r="H5" s="20" t="n">
        <v>30</v>
      </c>
      <c r="I5" s="16" t="inlineStr">
        <is>
          <t>Aprovar recomendação</t>
        </is>
      </c>
      <c r="J5" s="17" t="n"/>
      <c r="K5" s="25" t="inlineStr">
        <is>
          <t>Teste fictício de procura elevada</t>
        </is>
      </c>
      <c r="L5" s="26">
        <f>IF($C5="","",IFERROR(INDEX(Produtos!$B$4:$B$103,MATCH($C5,Produtos!$A$4:$A$103,0)),""))</f>
        <v/>
      </c>
      <c r="M5" s="26">
        <f>IF($C5="","",IFERROR(INDEX(Produtos!$C$4:$C$103,MATCH($C5,Produtos!$A$4:$A$103,0)),""))</f>
        <v/>
      </c>
      <c r="N5" s="19">
        <f>IF($C5="","",IFERROR(INDEX(Produtos!$D$4:$D$103,MATCH($C5,Produtos!$A$4:$A$103,0)),""))</f>
        <v/>
      </c>
      <c r="O5" s="27">
        <f>IF($C5="","",IFERROR(INDEX(Produtos!$E$4:$E$103,MATCH($C5,Produtos!$A$4:$A$103,0)),""))</f>
        <v/>
      </c>
      <c r="P5" s="19">
        <f>IF($C5="","",IFERROR(INDEX(Produtos!$G$4:$G$103,MATCH($C5,Produtos!$A$4:$A$103,0)),""))</f>
        <v/>
      </c>
      <c r="Q5" s="19">
        <f>IF($C5="","",IFERROR(INDEX(Produtos!$H$4:$H$103,MATCH($C5,Produtos!$A$4:$A$103,0)),""))</f>
        <v/>
      </c>
      <c r="R5" s="19">
        <f>IF($C5="","",IFERROR(INDEX(Produtos!$I$4:$I$103,MATCH($C5,Produtos!$A$4:$A$103,0)),""))</f>
        <v/>
      </c>
      <c r="S5" s="28">
        <f>IF($C5="","",IFERROR(INDEX(Produtos!$J$4:$J$103,MATCH($C5,Produtos!$A$4:$A$103,0)),""))</f>
        <v/>
      </c>
      <c r="T5" s="27">
        <f>IF($AG5&lt;&gt;"Pronta","",IFERROR(IF($F5&lt;=INDEX(Regras!$C$4:$C$103,MATCH($D5,Regras!$A$4:$A$103,0)),INDEX(Regras!$E$4:$E$103,MATCH($D5,Regras!$A$4:$A$103,0)),IF($F5&gt;=INDEX(Regras!$D$4:$D$103,MATCH($D5,Regras!$A$4:$A$103,0)),INDEX(Regras!$F$4:$F$103,MATCH($D5,Regras!$A$4:$A$103,0)),0)),""))</f>
        <v/>
      </c>
      <c r="U5" s="27">
        <f>IF($AG5&lt;&gt;"Pronta","",IFERROR(IF($G5="",0,IF($G5&lt;=$E5*(1-INDEX(Regras!$G$4:$G$103,MATCH($D5,Regras!$A$4:$A$103,0))),INDEX(Regras!$H$4:$H$103,MATCH($D5,Regras!$A$4:$A$103,0)),IF($G5&gt;=$E5*(1+INDEX(Regras!$G$4:$G$103,MATCH($D5,Regras!$A$4:$A$103,0))),INDEX(Regras!$I$4:$I$103,MATCH($D5,Regras!$A$4:$A$103,0)),0))),""))</f>
        <v/>
      </c>
      <c r="V5" s="27">
        <f>IF($AG5&lt;&gt;"Pronta","",IFERROR(IF($H5/$S5&lt;=INDEX(Regras!$J$4:$J$103,MATCH($D5,Regras!$A$4:$A$103,0)),INDEX(Regras!$L$4:$L$103,MATCH($D5,Regras!$A$4:$A$103,0)),IF($H5/$S5&gt;=INDEX(Regras!$K$4:$K$103,MATCH($D5,Regras!$A$4:$A$103,0)),INDEX(Regras!$M$4:$M$103,MATCH($D5,Regras!$A$4:$A$103,0)),0)),""))</f>
        <v/>
      </c>
      <c r="W5" s="27">
        <f>IF($AG5&lt;&gt;"Pronta","",SUM($T5:$V5))</f>
        <v/>
      </c>
      <c r="X5" s="27">
        <f>IF($AG5&lt;&gt;"Pronta","",IFERROR(MAX(-INDEX(Regras!$N$4:$N$103,MATCH($D5,Regras!$A$4:$A$103,0)),MIN(INDEX(Regras!$N$4:$N$103,MATCH($D5,Regras!$A$4:$A$103,0)),$W5)),""))</f>
        <v/>
      </c>
      <c r="Y5" s="19">
        <f>IF($AG5&lt;&gt;"Pronta","",IFERROR(ROUND($E5*(1+$X5),2),""))</f>
        <v/>
      </c>
      <c r="Z5" s="29">
        <f>IF(OR($AG5&lt;&gt;"Pronta",$Q5="",$R5=""),"",IFERROR(ROUND(MIN($R5,MAX($Q5,$Y5)),2),""))</f>
        <v/>
      </c>
      <c r="AA5" s="27">
        <f>IF(OR($E5="",$Z5=""),"",IFERROR($Z5/$E5-1,""))</f>
        <v/>
      </c>
      <c r="AB5" s="26">
        <f>IF($Z5="","",IF($Y5&lt;$Q5,"Piso",IF($Y5&gt;$R5,"Teto","Nenhuma")))</f>
        <v/>
      </c>
      <c r="AC5" s="21">
        <f>IF($A5="","",IF($AG5&lt;&gt;"Pronta","Aguardando dados válidos",_xlfn.TEXTJOIN(" | ",TRUE,IF($T5&gt;0,"Demanda: aumento",IF($T5&lt;0,"Demanda: redução","")),IF($U5&gt;0,"Concorrência: aumento",IF($U5&lt;0,"Concorrência: redução","")),IF($V5&gt;0,"Estoque: aumento",IF($V5&lt;0,"Estoque: redução","")),IF(ABS($W5-$X5)&gt;0.0000001,"Limite da rodada aplicado",""),IF($AB5="Piso","Piso vigente aplicado",IF($AB5="Teto","Teto aplicado","")),IF(AND($T5=0,$U5=0,$V5=0),"Sem gatilho de reajuste",""))))</f>
        <v/>
      </c>
      <c r="AD5" s="21">
        <f>IF(OR($A5="",$AG5&lt;&gt;"Pronta"),"",_xlfn.TEXTJOIN(" | ",TRUE,IF($E5&lt;$Q5,"Preço atual abaixo do piso",""),IF($E5&gt;$R5,"Preço atual acima do teto",""),IF(AND($N5&gt;0,$E5&gt;0,1-$N5/$E5&lt;$O5),"Margem estimada do preço atual abaixo do mínimo",""),IF($G5="","Preço concorrente não informado",""),IF($AB5="Piso","Recomendação travada no piso",""),IF($AB5="Teto","Recomendação travada no teto","")))</f>
        <v/>
      </c>
      <c r="AE5" s="19">
        <f>IF($AG5&lt;&gt;"Pronta","",IF($I5="Aprovar recomendação",$Z5,IF($I5="Manter preço atual",$E5,IF($I5="Definir manualmente",$J5,""))))</f>
        <v/>
      </c>
      <c r="AF5" s="21">
        <f>IF($A5="","",IF($AG5&lt;&gt;"Pronta","Aguardando correção",IF(OR($I5="",$I5="Pendente"),"Decisão pendente",IF(AND($I5="Definir manualmente",OR($J5="",$J5&lt;=0)),"Informe o preço manual",IF(OR($AE5&lt;$Q5,$AE5&gt;$R5),"Preço final fora do piso/teto","OK")))))</f>
        <v/>
      </c>
      <c r="AG5" s="26">
        <f>IF(COUNTA($A5:$K5)=0,"",IF(OR($A5="",$B5="",$C5="",$D5="",$E5="",$F5="",$H5=""),"Incompleta",IF(OR(COUNTIF($A$5:$A$204,$A5)&gt;1,NOT(ISNUMBER($B5)),COUNTIF(Produtos!$A$4:$A$103,$C5)&lt;&gt;1,IFERROR(INDEX(Produtos!$K$4:$K$103,MATCH($C5,Produtos!$A$4:$A$103,0))&lt;&gt;"Ativo",TRUE),IFERROR(INDEX(Produtos!$L$4:$L$103,MATCH($C5,Produtos!$A$4:$A$103,0))&lt;&gt;"OK",TRUE),COUNTIF(Regras!$A$4:$A$103,$D5)&lt;&gt;1,IFERROR(INDEX(Regras!$O$4:$O$103,MATCH($D5,Regras!$A$4:$A$103,0))&lt;&gt;"Sim",TRUE),IFERROR(INDEX(Regras!$P$4:$P$103,MATCH($D5,Regras!$A$4:$A$103,0))&lt;&gt;"OK",TRUE),NOT(ISNUMBER($E5)),$E5&lt;=0,NOT(ISNUMBER($F5)),$F5&lt;0,$F5&gt;5,NOT(ISNUMBER($H5)),$H5&lt;0,$H5&lt;&gt;INT($H5),AND($G5&lt;&gt;"",OR(NOT(ISNUMBER($G5)),$G5&lt;=0))),"Revisar","Pronta")))</f>
        <v/>
      </c>
    </row>
    <row r="6">
      <c r="A6" s="16" t="inlineStr">
        <is>
          <t>RD-FIC-0002</t>
        </is>
      </c>
      <c r="B6" s="24" t="n">
        <v>46266</v>
      </c>
      <c r="C6" s="16" t="inlineStr">
        <is>
          <t>FIC-002</t>
        </is>
      </c>
      <c r="D6" s="16" t="inlineStr">
        <is>
          <t>R-AGIL</t>
        </is>
      </c>
      <c r="E6" s="17" t="n">
        <v>59.9</v>
      </c>
      <c r="F6" s="18" t="n">
        <v>0.82</v>
      </c>
      <c r="G6" s="17" t="n">
        <v>54.9</v>
      </c>
      <c r="H6" s="20" t="n">
        <v>220</v>
      </c>
      <c r="I6" s="16" t="inlineStr">
        <is>
          <t>Aprovar recomendação</t>
        </is>
      </c>
      <c r="J6" s="17" t="n"/>
      <c r="K6" s="25" t="inlineStr">
        <is>
          <t>Exemplo fictício de estoque elevado</t>
        </is>
      </c>
      <c r="L6" s="26">
        <f>IF($C6="","",IFERROR(INDEX(Produtos!$B$4:$B$103,MATCH($C6,Produtos!$A$4:$A$103,0)),""))</f>
        <v/>
      </c>
      <c r="M6" s="26">
        <f>IF($C6="","",IFERROR(INDEX(Produtos!$C$4:$C$103,MATCH($C6,Produtos!$A$4:$A$103,0)),""))</f>
        <v/>
      </c>
      <c r="N6" s="19">
        <f>IF($C6="","",IFERROR(INDEX(Produtos!$D$4:$D$103,MATCH($C6,Produtos!$A$4:$A$103,0)),""))</f>
        <v/>
      </c>
      <c r="O6" s="27">
        <f>IF($C6="","",IFERROR(INDEX(Produtos!$E$4:$E$103,MATCH($C6,Produtos!$A$4:$A$103,0)),""))</f>
        <v/>
      </c>
      <c r="P6" s="19">
        <f>IF($C6="","",IFERROR(INDEX(Produtos!$G$4:$G$103,MATCH($C6,Produtos!$A$4:$A$103,0)),""))</f>
        <v/>
      </c>
      <c r="Q6" s="19">
        <f>IF($C6="","",IFERROR(INDEX(Produtos!$H$4:$H$103,MATCH($C6,Produtos!$A$4:$A$103,0)),""))</f>
        <v/>
      </c>
      <c r="R6" s="19">
        <f>IF($C6="","",IFERROR(INDEX(Produtos!$I$4:$I$103,MATCH($C6,Produtos!$A$4:$A$103,0)),""))</f>
        <v/>
      </c>
      <c r="S6" s="28">
        <f>IF($C6="","",IFERROR(INDEX(Produtos!$J$4:$J$103,MATCH($C6,Produtos!$A$4:$A$103,0)),""))</f>
        <v/>
      </c>
      <c r="T6" s="27">
        <f>IF($AG6&lt;&gt;"Pronta","",IFERROR(IF($F6&lt;=INDEX(Regras!$C$4:$C$103,MATCH($D6,Regras!$A$4:$A$103,0)),INDEX(Regras!$E$4:$E$103,MATCH($D6,Regras!$A$4:$A$103,0)),IF($F6&gt;=INDEX(Regras!$D$4:$D$103,MATCH($D6,Regras!$A$4:$A$103,0)),INDEX(Regras!$F$4:$F$103,MATCH($D6,Regras!$A$4:$A$103,0)),0)),""))</f>
        <v/>
      </c>
      <c r="U6" s="27">
        <f>IF($AG6&lt;&gt;"Pronta","",IFERROR(IF($G6="",0,IF($G6&lt;=$E6*(1-INDEX(Regras!$G$4:$G$103,MATCH($D6,Regras!$A$4:$A$103,0))),INDEX(Regras!$H$4:$H$103,MATCH($D6,Regras!$A$4:$A$103,0)),IF($G6&gt;=$E6*(1+INDEX(Regras!$G$4:$G$103,MATCH($D6,Regras!$A$4:$A$103,0))),INDEX(Regras!$I$4:$I$103,MATCH($D6,Regras!$A$4:$A$103,0)),0))),""))</f>
        <v/>
      </c>
      <c r="V6" s="27">
        <f>IF($AG6&lt;&gt;"Pronta","",IFERROR(IF($H6/$S6&lt;=INDEX(Regras!$J$4:$J$103,MATCH($D6,Regras!$A$4:$A$103,0)),INDEX(Regras!$L$4:$L$103,MATCH($D6,Regras!$A$4:$A$103,0)),IF($H6/$S6&gt;=INDEX(Regras!$K$4:$K$103,MATCH($D6,Regras!$A$4:$A$103,0)),INDEX(Regras!$M$4:$M$103,MATCH($D6,Regras!$A$4:$A$103,0)),0)),""))</f>
        <v/>
      </c>
      <c r="W6" s="27">
        <f>IF($AG6&lt;&gt;"Pronta","",SUM($T6:$V6))</f>
        <v/>
      </c>
      <c r="X6" s="27">
        <f>IF($AG6&lt;&gt;"Pronta","",IFERROR(MAX(-INDEX(Regras!$N$4:$N$103,MATCH($D6,Regras!$A$4:$A$103,0)),MIN(INDEX(Regras!$N$4:$N$103,MATCH($D6,Regras!$A$4:$A$103,0)),$W6)),""))</f>
        <v/>
      </c>
      <c r="Y6" s="19">
        <f>IF($AG6&lt;&gt;"Pronta","",IFERROR(ROUND($E6*(1+$X6),2),""))</f>
        <v/>
      </c>
      <c r="Z6" s="29">
        <f>IF(OR($AG6&lt;&gt;"Pronta",$Q6="",$R6=""),"",IFERROR(ROUND(MIN($R6,MAX($Q6,$Y6)),2),""))</f>
        <v/>
      </c>
      <c r="AA6" s="27">
        <f>IF(OR($E6="",$Z6=""),"",IFERROR($Z6/$E6-1,""))</f>
        <v/>
      </c>
      <c r="AB6" s="26">
        <f>IF($Z6="","",IF($Y6&lt;$Q6,"Piso",IF($Y6&gt;$R6,"Teto","Nenhuma")))</f>
        <v/>
      </c>
      <c r="AC6" s="21">
        <f>IF($A6="","",IF($AG6&lt;&gt;"Pronta","Aguardando dados válidos",_xlfn.TEXTJOIN(" | ",TRUE,IF($T6&gt;0,"Demanda: aumento",IF($T6&lt;0,"Demanda: redução","")),IF($U6&gt;0,"Concorrência: aumento",IF($U6&lt;0,"Concorrência: redução","")),IF($V6&gt;0,"Estoque: aumento",IF($V6&lt;0,"Estoque: redução","")),IF(ABS($W6-$X6)&gt;0.0000001,"Limite da rodada aplicado",""),IF($AB6="Piso","Piso vigente aplicado",IF($AB6="Teto","Teto aplicado","")),IF(AND($T6=0,$U6=0,$V6=0),"Sem gatilho de reajuste",""))))</f>
        <v/>
      </c>
      <c r="AD6" s="21">
        <f>IF(OR($A6="",$AG6&lt;&gt;"Pronta"),"",_xlfn.TEXTJOIN(" | ",TRUE,IF($E6&lt;$Q6,"Preço atual abaixo do piso",""),IF($E6&gt;$R6,"Preço atual acima do teto",""),IF(AND($N6&gt;0,$E6&gt;0,1-$N6/$E6&lt;$O6),"Margem estimada do preço atual abaixo do mínimo",""),IF($G6="","Preço concorrente não informado",""),IF($AB6="Piso","Recomendação travada no piso",""),IF($AB6="Teto","Recomendação travada no teto","")))</f>
        <v/>
      </c>
      <c r="AE6" s="19">
        <f>IF($AG6&lt;&gt;"Pronta","",IF($I6="Aprovar recomendação",$Z6,IF($I6="Manter preço atual",$E6,IF($I6="Definir manualmente",$J6,""))))</f>
        <v/>
      </c>
      <c r="AF6" s="21">
        <f>IF($A6="","",IF($AG6&lt;&gt;"Pronta","Aguardando correção",IF(OR($I6="",$I6="Pendente"),"Decisão pendente",IF(AND($I6="Definir manualmente",OR($J6="",$J6&lt;=0)),"Informe o preço manual",IF(OR($AE6&lt;$Q6,$AE6&gt;$R6),"Preço final fora do piso/teto","OK")))))</f>
        <v/>
      </c>
      <c r="AG6" s="26">
        <f>IF(COUNTA($A6:$K6)=0,"",IF(OR($A6="",$B6="",$C6="",$D6="",$E6="",$F6="",$H6=""),"Incompleta",IF(OR(COUNTIF($A$5:$A$204,$A6)&gt;1,NOT(ISNUMBER($B6)),COUNTIF(Produtos!$A$4:$A$103,$C6)&lt;&gt;1,IFERROR(INDEX(Produtos!$K$4:$K$103,MATCH($C6,Produtos!$A$4:$A$103,0))&lt;&gt;"Ativo",TRUE),IFERROR(INDEX(Produtos!$L$4:$L$103,MATCH($C6,Produtos!$A$4:$A$103,0))&lt;&gt;"OK",TRUE),COUNTIF(Regras!$A$4:$A$103,$D6)&lt;&gt;1,IFERROR(INDEX(Regras!$O$4:$O$103,MATCH($D6,Regras!$A$4:$A$103,0))&lt;&gt;"Sim",TRUE),IFERROR(INDEX(Regras!$P$4:$P$103,MATCH($D6,Regras!$A$4:$A$103,0))&lt;&gt;"OK",TRUE),NOT(ISNUMBER($E6)),$E6&lt;=0,NOT(ISNUMBER($F6)),$F6&lt;0,$F6&gt;5,NOT(ISNUMBER($H6)),$H6&lt;0,$H6&lt;&gt;INT($H6),AND($G6&lt;&gt;"",OR(NOT(ISNUMBER($G6)),$G6&lt;=0))),"Revisar","Pronta")))</f>
        <v/>
      </c>
    </row>
    <row r="7">
      <c r="A7" s="16" t="inlineStr">
        <is>
          <t>RD-FIC-0003</t>
        </is>
      </c>
      <c r="B7" s="24" t="n">
        <v>46267</v>
      </c>
      <c r="C7" s="16" t="inlineStr">
        <is>
          <t>FIC-003</t>
        </is>
      </c>
      <c r="D7" s="16" t="inlineStr">
        <is>
          <t>R-MARGEM</t>
        </is>
      </c>
      <c r="E7" s="17" t="n">
        <v>89</v>
      </c>
      <c r="F7" s="18" t="n">
        <v>0.75</v>
      </c>
      <c r="G7" s="17" t="n"/>
      <c r="H7" s="20" t="n">
        <v>20</v>
      </c>
      <c r="I7" s="16" t="inlineStr">
        <is>
          <t>Manter preço atual</t>
        </is>
      </c>
      <c r="J7" s="17" t="n"/>
      <c r="K7" s="25" t="inlineStr">
        <is>
          <t>Concorrente não informado</t>
        </is>
      </c>
      <c r="L7" s="26">
        <f>IF($C7="","",IFERROR(INDEX(Produtos!$B$4:$B$103,MATCH($C7,Produtos!$A$4:$A$103,0)),""))</f>
        <v/>
      </c>
      <c r="M7" s="26">
        <f>IF($C7="","",IFERROR(INDEX(Produtos!$C$4:$C$103,MATCH($C7,Produtos!$A$4:$A$103,0)),""))</f>
        <v/>
      </c>
      <c r="N7" s="19">
        <f>IF($C7="","",IFERROR(INDEX(Produtos!$D$4:$D$103,MATCH($C7,Produtos!$A$4:$A$103,0)),""))</f>
        <v/>
      </c>
      <c r="O7" s="27">
        <f>IF($C7="","",IFERROR(INDEX(Produtos!$E$4:$E$103,MATCH($C7,Produtos!$A$4:$A$103,0)),""))</f>
        <v/>
      </c>
      <c r="P7" s="19">
        <f>IF($C7="","",IFERROR(INDEX(Produtos!$G$4:$G$103,MATCH($C7,Produtos!$A$4:$A$103,0)),""))</f>
        <v/>
      </c>
      <c r="Q7" s="19">
        <f>IF($C7="","",IFERROR(INDEX(Produtos!$H$4:$H$103,MATCH($C7,Produtos!$A$4:$A$103,0)),""))</f>
        <v/>
      </c>
      <c r="R7" s="19">
        <f>IF($C7="","",IFERROR(INDEX(Produtos!$I$4:$I$103,MATCH($C7,Produtos!$A$4:$A$103,0)),""))</f>
        <v/>
      </c>
      <c r="S7" s="28">
        <f>IF($C7="","",IFERROR(INDEX(Produtos!$J$4:$J$103,MATCH($C7,Produtos!$A$4:$A$103,0)),""))</f>
        <v/>
      </c>
      <c r="T7" s="27">
        <f>IF($AG7&lt;&gt;"Pronta","",IFERROR(IF($F7&lt;=INDEX(Regras!$C$4:$C$103,MATCH($D7,Regras!$A$4:$A$103,0)),INDEX(Regras!$E$4:$E$103,MATCH($D7,Regras!$A$4:$A$103,0)),IF($F7&gt;=INDEX(Regras!$D$4:$D$103,MATCH($D7,Regras!$A$4:$A$103,0)),INDEX(Regras!$F$4:$F$103,MATCH($D7,Regras!$A$4:$A$103,0)),0)),""))</f>
        <v/>
      </c>
      <c r="U7" s="27">
        <f>IF($AG7&lt;&gt;"Pronta","",IFERROR(IF($G7="",0,IF($G7&lt;=$E7*(1-INDEX(Regras!$G$4:$G$103,MATCH($D7,Regras!$A$4:$A$103,0))),INDEX(Regras!$H$4:$H$103,MATCH($D7,Regras!$A$4:$A$103,0)),IF($G7&gt;=$E7*(1+INDEX(Regras!$G$4:$G$103,MATCH($D7,Regras!$A$4:$A$103,0))),INDEX(Regras!$I$4:$I$103,MATCH($D7,Regras!$A$4:$A$103,0)),0))),""))</f>
        <v/>
      </c>
      <c r="V7" s="27">
        <f>IF($AG7&lt;&gt;"Pronta","",IFERROR(IF($H7/$S7&lt;=INDEX(Regras!$J$4:$J$103,MATCH($D7,Regras!$A$4:$A$103,0)),INDEX(Regras!$L$4:$L$103,MATCH($D7,Regras!$A$4:$A$103,0)),IF($H7/$S7&gt;=INDEX(Regras!$K$4:$K$103,MATCH($D7,Regras!$A$4:$A$103,0)),INDEX(Regras!$M$4:$M$103,MATCH($D7,Regras!$A$4:$A$103,0)),0)),""))</f>
        <v/>
      </c>
      <c r="W7" s="27">
        <f>IF($AG7&lt;&gt;"Pronta","",SUM($T7:$V7))</f>
        <v/>
      </c>
      <c r="X7" s="27">
        <f>IF($AG7&lt;&gt;"Pronta","",IFERROR(MAX(-INDEX(Regras!$N$4:$N$103,MATCH($D7,Regras!$A$4:$A$103,0)),MIN(INDEX(Regras!$N$4:$N$103,MATCH($D7,Regras!$A$4:$A$103,0)),$W7)),""))</f>
        <v/>
      </c>
      <c r="Y7" s="19">
        <f>IF($AG7&lt;&gt;"Pronta","",IFERROR(ROUND($E7*(1+$X7),2),""))</f>
        <v/>
      </c>
      <c r="Z7" s="29">
        <f>IF(OR($AG7&lt;&gt;"Pronta",$Q7="",$R7=""),"",IFERROR(ROUND(MIN($R7,MAX($Q7,$Y7)),2),""))</f>
        <v/>
      </c>
      <c r="AA7" s="27">
        <f>IF(OR($E7="",$Z7=""),"",IFERROR($Z7/$E7-1,""))</f>
        <v/>
      </c>
      <c r="AB7" s="26">
        <f>IF($Z7="","",IF($Y7&lt;$Q7,"Piso",IF($Y7&gt;$R7,"Teto","Nenhuma")))</f>
        <v/>
      </c>
      <c r="AC7" s="21">
        <f>IF($A7="","",IF($AG7&lt;&gt;"Pronta","Aguardando dados válidos",_xlfn.TEXTJOIN(" | ",TRUE,IF($T7&gt;0,"Demanda: aumento",IF($T7&lt;0,"Demanda: redução","")),IF($U7&gt;0,"Concorrência: aumento",IF($U7&lt;0,"Concorrência: redução","")),IF($V7&gt;0,"Estoque: aumento",IF($V7&lt;0,"Estoque: redução","")),IF(ABS($W7-$X7)&gt;0.0000001,"Limite da rodada aplicado",""),IF($AB7="Piso","Piso vigente aplicado",IF($AB7="Teto","Teto aplicado","")),IF(AND($T7=0,$U7=0,$V7=0),"Sem gatilho de reajuste",""))))</f>
        <v/>
      </c>
      <c r="AD7" s="21">
        <f>IF(OR($A7="",$AG7&lt;&gt;"Pronta"),"",_xlfn.TEXTJOIN(" | ",TRUE,IF($E7&lt;$Q7,"Preço atual abaixo do piso",""),IF($E7&gt;$R7,"Preço atual acima do teto",""),IF(AND($N7&gt;0,$E7&gt;0,1-$N7/$E7&lt;$O7),"Margem estimada do preço atual abaixo do mínimo",""),IF($G7="","Preço concorrente não informado",""),IF($AB7="Piso","Recomendação travada no piso",""),IF($AB7="Teto","Recomendação travada no teto","")))</f>
        <v/>
      </c>
      <c r="AE7" s="19">
        <f>IF($AG7&lt;&gt;"Pronta","",IF($I7="Aprovar recomendação",$Z7,IF($I7="Manter preço atual",$E7,IF($I7="Definir manualmente",$J7,""))))</f>
        <v/>
      </c>
      <c r="AF7" s="21">
        <f>IF($A7="","",IF($AG7&lt;&gt;"Pronta","Aguardando correção",IF(OR($I7="",$I7="Pendente"),"Decisão pendente",IF(AND($I7="Definir manualmente",OR($J7="",$J7&lt;=0)),"Informe o preço manual",IF(OR($AE7&lt;$Q7,$AE7&gt;$R7),"Preço final fora do piso/teto","OK")))))</f>
        <v/>
      </c>
      <c r="AG7" s="26">
        <f>IF(COUNTA($A7:$K7)=0,"",IF(OR($A7="",$B7="",$C7="",$D7="",$E7="",$F7="",$H7=""),"Incompleta",IF(OR(COUNTIF($A$5:$A$204,$A7)&gt;1,NOT(ISNUMBER($B7)),COUNTIF(Produtos!$A$4:$A$103,$C7)&lt;&gt;1,IFERROR(INDEX(Produtos!$K$4:$K$103,MATCH($C7,Produtos!$A$4:$A$103,0))&lt;&gt;"Ativo",TRUE),IFERROR(INDEX(Produtos!$L$4:$L$103,MATCH($C7,Produtos!$A$4:$A$103,0))&lt;&gt;"OK",TRUE),COUNTIF(Regras!$A$4:$A$103,$D7)&lt;&gt;1,IFERROR(INDEX(Regras!$O$4:$O$103,MATCH($D7,Regras!$A$4:$A$103,0))&lt;&gt;"Sim",TRUE),IFERROR(INDEX(Regras!$P$4:$P$103,MATCH($D7,Regras!$A$4:$A$103,0))&lt;&gt;"OK",TRUE),NOT(ISNUMBER($E7)),$E7&lt;=0,NOT(ISNUMBER($F7)),$F7&lt;0,$F7&gt;5,NOT(ISNUMBER($H7)),$H7&lt;0,$H7&lt;&gt;INT($H7),AND($G7&lt;&gt;"",OR(NOT(ISNUMBER($G7)),$G7&lt;=0))),"Revisar","Pronta")))</f>
        <v/>
      </c>
    </row>
    <row r="8">
      <c r="A8" s="16" t="inlineStr">
        <is>
          <t>RD-FIC-0004</t>
        </is>
      </c>
      <c r="B8" s="24" t="n">
        <v>46267</v>
      </c>
      <c r="C8" s="16" t="inlineStr">
        <is>
          <t>FIC-004</t>
        </is>
      </c>
      <c r="D8" s="16" t="inlineStr">
        <is>
          <t>R-COMP</t>
        </is>
      </c>
      <c r="E8" s="17" t="n">
        <v>119.9</v>
      </c>
      <c r="F8" s="18" t="n">
        <v>1.05</v>
      </c>
      <c r="G8" s="17" t="n">
        <v>109.9</v>
      </c>
      <c r="H8" s="20" t="n">
        <v>170</v>
      </c>
      <c r="I8" s="16" t="inlineStr">
        <is>
          <t>Aprovar recomendação</t>
        </is>
      </c>
      <c r="J8" s="17" t="n"/>
      <c r="K8" s="25" t="inlineStr">
        <is>
          <t>Comparação fictícia de mercado</t>
        </is>
      </c>
      <c r="L8" s="26">
        <f>IF($C8="","",IFERROR(INDEX(Produtos!$B$4:$B$103,MATCH($C8,Produtos!$A$4:$A$103,0)),""))</f>
        <v/>
      </c>
      <c r="M8" s="26">
        <f>IF($C8="","",IFERROR(INDEX(Produtos!$C$4:$C$103,MATCH($C8,Produtos!$A$4:$A$103,0)),""))</f>
        <v/>
      </c>
      <c r="N8" s="19">
        <f>IF($C8="","",IFERROR(INDEX(Produtos!$D$4:$D$103,MATCH($C8,Produtos!$A$4:$A$103,0)),""))</f>
        <v/>
      </c>
      <c r="O8" s="27">
        <f>IF($C8="","",IFERROR(INDEX(Produtos!$E$4:$E$103,MATCH($C8,Produtos!$A$4:$A$103,0)),""))</f>
        <v/>
      </c>
      <c r="P8" s="19">
        <f>IF($C8="","",IFERROR(INDEX(Produtos!$G$4:$G$103,MATCH($C8,Produtos!$A$4:$A$103,0)),""))</f>
        <v/>
      </c>
      <c r="Q8" s="19">
        <f>IF($C8="","",IFERROR(INDEX(Produtos!$H$4:$H$103,MATCH($C8,Produtos!$A$4:$A$103,0)),""))</f>
        <v/>
      </c>
      <c r="R8" s="19">
        <f>IF($C8="","",IFERROR(INDEX(Produtos!$I$4:$I$103,MATCH($C8,Produtos!$A$4:$A$103,0)),""))</f>
        <v/>
      </c>
      <c r="S8" s="28">
        <f>IF($C8="","",IFERROR(INDEX(Produtos!$J$4:$J$103,MATCH($C8,Produtos!$A$4:$A$103,0)),""))</f>
        <v/>
      </c>
      <c r="T8" s="27">
        <f>IF($AG8&lt;&gt;"Pronta","",IFERROR(IF($F8&lt;=INDEX(Regras!$C$4:$C$103,MATCH($D8,Regras!$A$4:$A$103,0)),INDEX(Regras!$E$4:$E$103,MATCH($D8,Regras!$A$4:$A$103,0)),IF($F8&gt;=INDEX(Regras!$D$4:$D$103,MATCH($D8,Regras!$A$4:$A$103,0)),INDEX(Regras!$F$4:$F$103,MATCH($D8,Regras!$A$4:$A$103,0)),0)),""))</f>
        <v/>
      </c>
      <c r="U8" s="27">
        <f>IF($AG8&lt;&gt;"Pronta","",IFERROR(IF($G8="",0,IF($G8&lt;=$E8*(1-INDEX(Regras!$G$4:$G$103,MATCH($D8,Regras!$A$4:$A$103,0))),INDEX(Regras!$H$4:$H$103,MATCH($D8,Regras!$A$4:$A$103,0)),IF($G8&gt;=$E8*(1+INDEX(Regras!$G$4:$G$103,MATCH($D8,Regras!$A$4:$A$103,0))),INDEX(Regras!$I$4:$I$103,MATCH($D8,Regras!$A$4:$A$103,0)),0))),""))</f>
        <v/>
      </c>
      <c r="V8" s="27">
        <f>IF($AG8&lt;&gt;"Pronta","",IFERROR(IF($H8/$S8&lt;=INDEX(Regras!$J$4:$J$103,MATCH($D8,Regras!$A$4:$A$103,0)),INDEX(Regras!$L$4:$L$103,MATCH($D8,Regras!$A$4:$A$103,0)),IF($H8/$S8&gt;=INDEX(Regras!$K$4:$K$103,MATCH($D8,Regras!$A$4:$A$103,0)),INDEX(Regras!$M$4:$M$103,MATCH($D8,Regras!$A$4:$A$103,0)),0)),""))</f>
        <v/>
      </c>
      <c r="W8" s="27">
        <f>IF($AG8&lt;&gt;"Pronta","",SUM($T8:$V8))</f>
        <v/>
      </c>
      <c r="X8" s="27">
        <f>IF($AG8&lt;&gt;"Pronta","",IFERROR(MAX(-INDEX(Regras!$N$4:$N$103,MATCH($D8,Regras!$A$4:$A$103,0)),MIN(INDEX(Regras!$N$4:$N$103,MATCH($D8,Regras!$A$4:$A$103,0)),$W8)),""))</f>
        <v/>
      </c>
      <c r="Y8" s="19">
        <f>IF($AG8&lt;&gt;"Pronta","",IFERROR(ROUND($E8*(1+$X8),2),""))</f>
        <v/>
      </c>
      <c r="Z8" s="29">
        <f>IF(OR($AG8&lt;&gt;"Pronta",$Q8="",$R8=""),"",IFERROR(ROUND(MIN($R8,MAX($Q8,$Y8)),2),""))</f>
        <v/>
      </c>
      <c r="AA8" s="27">
        <f>IF(OR($E8="",$Z8=""),"",IFERROR($Z8/$E8-1,""))</f>
        <v/>
      </c>
      <c r="AB8" s="26">
        <f>IF($Z8="","",IF($Y8&lt;$Q8,"Piso",IF($Y8&gt;$R8,"Teto","Nenhuma")))</f>
        <v/>
      </c>
      <c r="AC8" s="21">
        <f>IF($A8="","",IF($AG8&lt;&gt;"Pronta","Aguardando dados válidos",_xlfn.TEXTJOIN(" | ",TRUE,IF($T8&gt;0,"Demanda: aumento",IF($T8&lt;0,"Demanda: redução","")),IF($U8&gt;0,"Concorrência: aumento",IF($U8&lt;0,"Concorrência: redução","")),IF($V8&gt;0,"Estoque: aumento",IF($V8&lt;0,"Estoque: redução","")),IF(ABS($W8-$X8)&gt;0.0000001,"Limite da rodada aplicado",""),IF($AB8="Piso","Piso vigente aplicado",IF($AB8="Teto","Teto aplicado","")),IF(AND($T8=0,$U8=0,$V8=0),"Sem gatilho de reajuste",""))))</f>
        <v/>
      </c>
      <c r="AD8" s="21">
        <f>IF(OR($A8="",$AG8&lt;&gt;"Pronta"),"",_xlfn.TEXTJOIN(" | ",TRUE,IF($E8&lt;$Q8,"Preço atual abaixo do piso",""),IF($E8&gt;$R8,"Preço atual acima do teto",""),IF(AND($N8&gt;0,$E8&gt;0,1-$N8/$E8&lt;$O8),"Margem estimada do preço atual abaixo do mínimo",""),IF($G8="","Preço concorrente não informado",""),IF($AB8="Piso","Recomendação travada no piso",""),IF($AB8="Teto","Recomendação travada no teto","")))</f>
        <v/>
      </c>
      <c r="AE8" s="19">
        <f>IF($AG8&lt;&gt;"Pronta","",IF($I8="Aprovar recomendação",$Z8,IF($I8="Manter preço atual",$E8,IF($I8="Definir manualmente",$J8,""))))</f>
        <v/>
      </c>
      <c r="AF8" s="21">
        <f>IF($A8="","",IF($AG8&lt;&gt;"Pronta","Aguardando correção",IF(OR($I8="",$I8="Pendente"),"Decisão pendente",IF(AND($I8="Definir manualmente",OR($J8="",$J8&lt;=0)),"Informe o preço manual",IF(OR($AE8&lt;$Q8,$AE8&gt;$R8),"Preço final fora do piso/teto","OK")))))</f>
        <v/>
      </c>
      <c r="AG8" s="26">
        <f>IF(COUNTA($A8:$K8)=0,"",IF(OR($A8="",$B8="",$C8="",$D8="",$E8="",$F8="",$H8=""),"Incompleta",IF(OR(COUNTIF($A$5:$A$204,$A8)&gt;1,NOT(ISNUMBER($B8)),COUNTIF(Produtos!$A$4:$A$103,$C8)&lt;&gt;1,IFERROR(INDEX(Produtos!$K$4:$K$103,MATCH($C8,Produtos!$A$4:$A$103,0))&lt;&gt;"Ativo",TRUE),IFERROR(INDEX(Produtos!$L$4:$L$103,MATCH($C8,Produtos!$A$4:$A$103,0))&lt;&gt;"OK",TRUE),COUNTIF(Regras!$A$4:$A$103,$D8)&lt;&gt;1,IFERROR(INDEX(Regras!$O$4:$O$103,MATCH($D8,Regras!$A$4:$A$103,0))&lt;&gt;"Sim",TRUE),IFERROR(INDEX(Regras!$P$4:$P$103,MATCH($D8,Regras!$A$4:$A$103,0))&lt;&gt;"OK",TRUE),NOT(ISNUMBER($E8)),$E8&lt;=0,NOT(ISNUMBER($F8)),$F8&lt;0,$F8&gt;5,NOT(ISNUMBER($H8)),$H8&lt;0,$H8&lt;&gt;INT($H8),AND($G8&lt;&gt;"",OR(NOT(ISNUMBER($G8)),$G8&lt;=0))),"Revisar","Pronta")))</f>
        <v/>
      </c>
    </row>
    <row r="9">
      <c r="A9" s="16" t="inlineStr">
        <is>
          <t>RD-FIC-0005</t>
        </is>
      </c>
      <c r="B9" s="24" t="n">
        <v>46268</v>
      </c>
      <c r="C9" s="16" t="inlineStr">
        <is>
          <t>FIC-005</t>
        </is>
      </c>
      <c r="D9" s="16" t="inlineStr">
        <is>
          <t>R-ESTOQUE</t>
        </is>
      </c>
      <c r="E9" s="17" t="n">
        <v>39.9</v>
      </c>
      <c r="F9" s="18" t="n">
        <v>1.25</v>
      </c>
      <c r="G9" s="17" t="n">
        <v>44.9</v>
      </c>
      <c r="H9" s="20" t="n">
        <v>80</v>
      </c>
      <c r="I9" s="16" t="inlineStr">
        <is>
          <t>Aprovar recomendação</t>
        </is>
      </c>
      <c r="J9" s="17" t="n"/>
      <c r="K9" s="25" t="inlineStr">
        <is>
          <t>Procura fictícia com estoque reduzido</t>
        </is>
      </c>
      <c r="L9" s="26">
        <f>IF($C9="","",IFERROR(INDEX(Produtos!$B$4:$B$103,MATCH($C9,Produtos!$A$4:$A$103,0)),""))</f>
        <v/>
      </c>
      <c r="M9" s="26">
        <f>IF($C9="","",IFERROR(INDEX(Produtos!$C$4:$C$103,MATCH($C9,Produtos!$A$4:$A$103,0)),""))</f>
        <v/>
      </c>
      <c r="N9" s="19">
        <f>IF($C9="","",IFERROR(INDEX(Produtos!$D$4:$D$103,MATCH($C9,Produtos!$A$4:$A$103,0)),""))</f>
        <v/>
      </c>
      <c r="O9" s="27">
        <f>IF($C9="","",IFERROR(INDEX(Produtos!$E$4:$E$103,MATCH($C9,Produtos!$A$4:$A$103,0)),""))</f>
        <v/>
      </c>
      <c r="P9" s="19">
        <f>IF($C9="","",IFERROR(INDEX(Produtos!$G$4:$G$103,MATCH($C9,Produtos!$A$4:$A$103,0)),""))</f>
        <v/>
      </c>
      <c r="Q9" s="19">
        <f>IF($C9="","",IFERROR(INDEX(Produtos!$H$4:$H$103,MATCH($C9,Produtos!$A$4:$A$103,0)),""))</f>
        <v/>
      </c>
      <c r="R9" s="19">
        <f>IF($C9="","",IFERROR(INDEX(Produtos!$I$4:$I$103,MATCH($C9,Produtos!$A$4:$A$103,0)),""))</f>
        <v/>
      </c>
      <c r="S9" s="28">
        <f>IF($C9="","",IFERROR(INDEX(Produtos!$J$4:$J$103,MATCH($C9,Produtos!$A$4:$A$103,0)),""))</f>
        <v/>
      </c>
      <c r="T9" s="27">
        <f>IF($AG9&lt;&gt;"Pronta","",IFERROR(IF($F9&lt;=INDEX(Regras!$C$4:$C$103,MATCH($D9,Regras!$A$4:$A$103,0)),INDEX(Regras!$E$4:$E$103,MATCH($D9,Regras!$A$4:$A$103,0)),IF($F9&gt;=INDEX(Regras!$D$4:$D$103,MATCH($D9,Regras!$A$4:$A$103,0)),INDEX(Regras!$F$4:$F$103,MATCH($D9,Regras!$A$4:$A$103,0)),0)),""))</f>
        <v/>
      </c>
      <c r="U9" s="27">
        <f>IF($AG9&lt;&gt;"Pronta","",IFERROR(IF($G9="",0,IF($G9&lt;=$E9*(1-INDEX(Regras!$G$4:$G$103,MATCH($D9,Regras!$A$4:$A$103,0))),INDEX(Regras!$H$4:$H$103,MATCH($D9,Regras!$A$4:$A$103,0)),IF($G9&gt;=$E9*(1+INDEX(Regras!$G$4:$G$103,MATCH($D9,Regras!$A$4:$A$103,0))),INDEX(Regras!$I$4:$I$103,MATCH($D9,Regras!$A$4:$A$103,0)),0))),""))</f>
        <v/>
      </c>
      <c r="V9" s="27">
        <f>IF($AG9&lt;&gt;"Pronta","",IFERROR(IF($H9/$S9&lt;=INDEX(Regras!$J$4:$J$103,MATCH($D9,Regras!$A$4:$A$103,0)),INDEX(Regras!$L$4:$L$103,MATCH($D9,Regras!$A$4:$A$103,0)),IF($H9/$S9&gt;=INDEX(Regras!$K$4:$K$103,MATCH($D9,Regras!$A$4:$A$103,0)),INDEX(Regras!$M$4:$M$103,MATCH($D9,Regras!$A$4:$A$103,0)),0)),""))</f>
        <v/>
      </c>
      <c r="W9" s="27">
        <f>IF($AG9&lt;&gt;"Pronta","",SUM($T9:$V9))</f>
        <v/>
      </c>
      <c r="X9" s="27">
        <f>IF($AG9&lt;&gt;"Pronta","",IFERROR(MAX(-INDEX(Regras!$N$4:$N$103,MATCH($D9,Regras!$A$4:$A$103,0)),MIN(INDEX(Regras!$N$4:$N$103,MATCH($D9,Regras!$A$4:$A$103,0)),$W9)),""))</f>
        <v/>
      </c>
      <c r="Y9" s="19">
        <f>IF($AG9&lt;&gt;"Pronta","",IFERROR(ROUND($E9*(1+$X9),2),""))</f>
        <v/>
      </c>
      <c r="Z9" s="29">
        <f>IF(OR($AG9&lt;&gt;"Pronta",$Q9="",$R9=""),"",IFERROR(ROUND(MIN($R9,MAX($Q9,$Y9)),2),""))</f>
        <v/>
      </c>
      <c r="AA9" s="27">
        <f>IF(OR($E9="",$Z9=""),"",IFERROR($Z9/$E9-1,""))</f>
        <v/>
      </c>
      <c r="AB9" s="26">
        <f>IF($Z9="","",IF($Y9&lt;$Q9,"Piso",IF($Y9&gt;$R9,"Teto","Nenhuma")))</f>
        <v/>
      </c>
      <c r="AC9" s="21">
        <f>IF($A9="","",IF($AG9&lt;&gt;"Pronta","Aguardando dados válidos",_xlfn.TEXTJOIN(" | ",TRUE,IF($T9&gt;0,"Demanda: aumento",IF($T9&lt;0,"Demanda: redução","")),IF($U9&gt;0,"Concorrência: aumento",IF($U9&lt;0,"Concorrência: redução","")),IF($V9&gt;0,"Estoque: aumento",IF($V9&lt;0,"Estoque: redução","")),IF(ABS($W9-$X9)&gt;0.0000001,"Limite da rodada aplicado",""),IF($AB9="Piso","Piso vigente aplicado",IF($AB9="Teto","Teto aplicado","")),IF(AND($T9=0,$U9=0,$V9=0),"Sem gatilho de reajuste",""))))</f>
        <v/>
      </c>
      <c r="AD9" s="21">
        <f>IF(OR($A9="",$AG9&lt;&gt;"Pronta"),"",_xlfn.TEXTJOIN(" | ",TRUE,IF($E9&lt;$Q9,"Preço atual abaixo do piso",""),IF($E9&gt;$R9,"Preço atual acima do teto",""),IF(AND($N9&gt;0,$E9&gt;0,1-$N9/$E9&lt;$O9),"Margem estimada do preço atual abaixo do mínimo",""),IF($G9="","Preço concorrente não informado",""),IF($AB9="Piso","Recomendação travada no piso",""),IF($AB9="Teto","Recomendação travada no teto","")))</f>
        <v/>
      </c>
      <c r="AE9" s="19">
        <f>IF($AG9&lt;&gt;"Pronta","",IF($I9="Aprovar recomendação",$Z9,IF($I9="Manter preço atual",$E9,IF($I9="Definir manualmente",$J9,""))))</f>
        <v/>
      </c>
      <c r="AF9" s="21">
        <f>IF($A9="","",IF($AG9&lt;&gt;"Pronta","Aguardando correção",IF(OR($I9="",$I9="Pendente"),"Decisão pendente",IF(AND($I9="Definir manualmente",OR($J9="",$J9&lt;=0)),"Informe o preço manual",IF(OR($AE9&lt;$Q9,$AE9&gt;$R9),"Preço final fora do piso/teto","OK")))))</f>
        <v/>
      </c>
      <c r="AG9" s="26">
        <f>IF(COUNTA($A9:$K9)=0,"",IF(OR($A9="",$B9="",$C9="",$D9="",$E9="",$F9="",$H9=""),"Incompleta",IF(OR(COUNTIF($A$5:$A$204,$A9)&gt;1,NOT(ISNUMBER($B9)),COUNTIF(Produtos!$A$4:$A$103,$C9)&lt;&gt;1,IFERROR(INDEX(Produtos!$K$4:$K$103,MATCH($C9,Produtos!$A$4:$A$103,0))&lt;&gt;"Ativo",TRUE),IFERROR(INDEX(Produtos!$L$4:$L$103,MATCH($C9,Produtos!$A$4:$A$103,0))&lt;&gt;"OK",TRUE),COUNTIF(Regras!$A$4:$A$103,$D9)&lt;&gt;1,IFERROR(INDEX(Regras!$O$4:$O$103,MATCH($D9,Regras!$A$4:$A$103,0))&lt;&gt;"Sim",TRUE),IFERROR(INDEX(Regras!$P$4:$P$103,MATCH($D9,Regras!$A$4:$A$103,0))&lt;&gt;"OK",TRUE),NOT(ISNUMBER($E9)),$E9&lt;=0,NOT(ISNUMBER($F9)),$F9&lt;0,$F9&gt;5,NOT(ISNUMBER($H9)),$H9&lt;0,$H9&lt;&gt;INT($H9),AND($G9&lt;&gt;"",OR(NOT(ISNUMBER($G9)),$G9&lt;=0))),"Revisar","Pronta")))</f>
        <v/>
      </c>
    </row>
    <row r="10">
      <c r="A10" s="16" t="inlineStr">
        <is>
          <t>RD-FIC-0006</t>
        </is>
      </c>
      <c r="B10" s="24" t="n">
        <v>46268</v>
      </c>
      <c r="C10" s="16" t="inlineStr">
        <is>
          <t>FIC-001</t>
        </is>
      </c>
      <c r="D10" s="16" t="inlineStr">
        <is>
          <t>R-BASE</t>
        </is>
      </c>
      <c r="E10" s="17" t="n">
        <v>74</v>
      </c>
      <c r="F10" s="18" t="n">
        <v>0.7</v>
      </c>
      <c r="G10" s="17" t="n">
        <v>69</v>
      </c>
      <c r="H10" s="20" t="n">
        <v>140</v>
      </c>
      <c r="I10" s="16" t="inlineStr">
        <is>
          <t>Aprovar recomendação</t>
        </is>
      </c>
      <c r="J10" s="17" t="n"/>
      <c r="K10" s="25" t="inlineStr">
        <is>
          <t>Redução limitada pelo piso</t>
        </is>
      </c>
      <c r="L10" s="26">
        <f>IF($C10="","",IFERROR(INDEX(Produtos!$B$4:$B$103,MATCH($C10,Produtos!$A$4:$A$103,0)),""))</f>
        <v/>
      </c>
      <c r="M10" s="26">
        <f>IF($C10="","",IFERROR(INDEX(Produtos!$C$4:$C$103,MATCH($C10,Produtos!$A$4:$A$103,0)),""))</f>
        <v/>
      </c>
      <c r="N10" s="19">
        <f>IF($C10="","",IFERROR(INDEX(Produtos!$D$4:$D$103,MATCH($C10,Produtos!$A$4:$A$103,0)),""))</f>
        <v/>
      </c>
      <c r="O10" s="27">
        <f>IF($C10="","",IFERROR(INDEX(Produtos!$E$4:$E$103,MATCH($C10,Produtos!$A$4:$A$103,0)),""))</f>
        <v/>
      </c>
      <c r="P10" s="19">
        <f>IF($C10="","",IFERROR(INDEX(Produtos!$G$4:$G$103,MATCH($C10,Produtos!$A$4:$A$103,0)),""))</f>
        <v/>
      </c>
      <c r="Q10" s="19">
        <f>IF($C10="","",IFERROR(INDEX(Produtos!$H$4:$H$103,MATCH($C10,Produtos!$A$4:$A$103,0)),""))</f>
        <v/>
      </c>
      <c r="R10" s="19">
        <f>IF($C10="","",IFERROR(INDEX(Produtos!$I$4:$I$103,MATCH($C10,Produtos!$A$4:$A$103,0)),""))</f>
        <v/>
      </c>
      <c r="S10" s="28">
        <f>IF($C10="","",IFERROR(INDEX(Produtos!$J$4:$J$103,MATCH($C10,Produtos!$A$4:$A$103,0)),""))</f>
        <v/>
      </c>
      <c r="T10" s="27">
        <f>IF($AG10&lt;&gt;"Pronta","",IFERROR(IF($F10&lt;=INDEX(Regras!$C$4:$C$103,MATCH($D10,Regras!$A$4:$A$103,0)),INDEX(Regras!$E$4:$E$103,MATCH($D10,Regras!$A$4:$A$103,0)),IF($F10&gt;=INDEX(Regras!$D$4:$D$103,MATCH($D10,Regras!$A$4:$A$103,0)),INDEX(Regras!$F$4:$F$103,MATCH($D10,Regras!$A$4:$A$103,0)),0)),""))</f>
        <v/>
      </c>
      <c r="U10" s="27">
        <f>IF($AG10&lt;&gt;"Pronta","",IFERROR(IF($G10="",0,IF($G10&lt;=$E10*(1-INDEX(Regras!$G$4:$G$103,MATCH($D10,Regras!$A$4:$A$103,0))),INDEX(Regras!$H$4:$H$103,MATCH($D10,Regras!$A$4:$A$103,0)),IF($G10&gt;=$E10*(1+INDEX(Regras!$G$4:$G$103,MATCH($D10,Regras!$A$4:$A$103,0))),INDEX(Regras!$I$4:$I$103,MATCH($D10,Regras!$A$4:$A$103,0)),0))),""))</f>
        <v/>
      </c>
      <c r="V10" s="27">
        <f>IF($AG10&lt;&gt;"Pronta","",IFERROR(IF($H10/$S10&lt;=INDEX(Regras!$J$4:$J$103,MATCH($D10,Regras!$A$4:$A$103,0)),INDEX(Regras!$L$4:$L$103,MATCH($D10,Regras!$A$4:$A$103,0)),IF($H10/$S10&gt;=INDEX(Regras!$K$4:$K$103,MATCH($D10,Regras!$A$4:$A$103,0)),INDEX(Regras!$M$4:$M$103,MATCH($D10,Regras!$A$4:$A$103,0)),0)),""))</f>
        <v/>
      </c>
      <c r="W10" s="27">
        <f>IF($AG10&lt;&gt;"Pronta","",SUM($T10:$V10))</f>
        <v/>
      </c>
      <c r="X10" s="27">
        <f>IF($AG10&lt;&gt;"Pronta","",IFERROR(MAX(-INDEX(Regras!$N$4:$N$103,MATCH($D10,Regras!$A$4:$A$103,0)),MIN(INDEX(Regras!$N$4:$N$103,MATCH($D10,Regras!$A$4:$A$103,0)),$W10)),""))</f>
        <v/>
      </c>
      <c r="Y10" s="19">
        <f>IF($AG10&lt;&gt;"Pronta","",IFERROR(ROUND($E10*(1+$X10),2),""))</f>
        <v/>
      </c>
      <c r="Z10" s="29">
        <f>IF(OR($AG10&lt;&gt;"Pronta",$Q10="",$R10=""),"",IFERROR(ROUND(MIN($R10,MAX($Q10,$Y10)),2),""))</f>
        <v/>
      </c>
      <c r="AA10" s="27">
        <f>IF(OR($E10="",$Z10=""),"",IFERROR($Z10/$E10-1,""))</f>
        <v/>
      </c>
      <c r="AB10" s="26">
        <f>IF($Z10="","",IF($Y10&lt;$Q10,"Piso",IF($Y10&gt;$R10,"Teto","Nenhuma")))</f>
        <v/>
      </c>
      <c r="AC10" s="21">
        <f>IF($A10="","",IF($AG10&lt;&gt;"Pronta","Aguardando dados válidos",_xlfn.TEXTJOIN(" | ",TRUE,IF($T10&gt;0,"Demanda: aumento",IF($T10&lt;0,"Demanda: redução","")),IF($U10&gt;0,"Concorrência: aumento",IF($U10&lt;0,"Concorrência: redução","")),IF($V10&gt;0,"Estoque: aumento",IF($V10&lt;0,"Estoque: redução","")),IF(ABS($W10-$X10)&gt;0.0000001,"Limite da rodada aplicado",""),IF($AB10="Piso","Piso vigente aplicado",IF($AB10="Teto","Teto aplicado","")),IF(AND($T10=0,$U10=0,$V10=0),"Sem gatilho de reajuste",""))))</f>
        <v/>
      </c>
      <c r="AD10" s="21">
        <f>IF(OR($A10="",$AG10&lt;&gt;"Pronta"),"",_xlfn.TEXTJOIN(" | ",TRUE,IF($E10&lt;$Q10,"Preço atual abaixo do piso",""),IF($E10&gt;$R10,"Preço atual acima do teto",""),IF(AND($N10&gt;0,$E10&gt;0,1-$N10/$E10&lt;$O10),"Margem estimada do preço atual abaixo do mínimo",""),IF($G10="","Preço concorrente não informado",""),IF($AB10="Piso","Recomendação travada no piso",""),IF($AB10="Teto","Recomendação travada no teto","")))</f>
        <v/>
      </c>
      <c r="AE10" s="19">
        <f>IF($AG10&lt;&gt;"Pronta","",IF($I10="Aprovar recomendação",$Z10,IF($I10="Manter preço atual",$E10,IF($I10="Definir manualmente",$J10,""))))</f>
        <v/>
      </c>
      <c r="AF10" s="21">
        <f>IF($A10="","",IF($AG10&lt;&gt;"Pronta","Aguardando correção",IF(OR($I10="",$I10="Pendente"),"Decisão pendente",IF(AND($I10="Definir manualmente",OR($J10="",$J10&lt;=0)),"Informe o preço manual",IF(OR($AE10&lt;$Q10,$AE10&gt;$R10),"Preço final fora do piso/teto","OK")))))</f>
        <v/>
      </c>
      <c r="AG10" s="26">
        <f>IF(COUNTA($A10:$K10)=0,"",IF(OR($A10="",$B10="",$C10="",$D10="",$E10="",$F10="",$H10=""),"Incompleta",IF(OR(COUNTIF($A$5:$A$204,$A10)&gt;1,NOT(ISNUMBER($B10)),COUNTIF(Produtos!$A$4:$A$103,$C10)&lt;&gt;1,IFERROR(INDEX(Produtos!$K$4:$K$103,MATCH($C10,Produtos!$A$4:$A$103,0))&lt;&gt;"Ativo",TRUE),IFERROR(INDEX(Produtos!$L$4:$L$103,MATCH($C10,Produtos!$A$4:$A$103,0))&lt;&gt;"OK",TRUE),COUNTIF(Regras!$A$4:$A$103,$D10)&lt;&gt;1,IFERROR(INDEX(Regras!$O$4:$O$103,MATCH($D10,Regras!$A$4:$A$103,0))&lt;&gt;"Sim",TRUE),IFERROR(INDEX(Regras!$P$4:$P$103,MATCH($D10,Regras!$A$4:$A$103,0))&lt;&gt;"OK",TRUE),NOT(ISNUMBER($E10)),$E10&lt;=0,NOT(ISNUMBER($F10)),$F10&lt;0,$F10&gt;5,NOT(ISNUMBER($H10)),$H10&lt;0,$H10&lt;&gt;INT($H10),AND($G10&lt;&gt;"",OR(NOT(ISNUMBER($G10)),$G10&lt;=0))),"Revisar","Pronta")))</f>
        <v/>
      </c>
    </row>
    <row r="11">
      <c r="A11" s="16" t="inlineStr">
        <is>
          <t>RD-FIC-0007</t>
        </is>
      </c>
      <c r="B11" s="24" t="n">
        <v>46269</v>
      </c>
      <c r="C11" s="16" t="inlineStr">
        <is>
          <t>FIC-003</t>
        </is>
      </c>
      <c r="D11" s="16" t="inlineStr">
        <is>
          <t>R-MARGEM</t>
        </is>
      </c>
      <c r="E11" s="17" t="n">
        <v>145</v>
      </c>
      <c r="F11" s="18" t="n">
        <v>1.3</v>
      </c>
      <c r="G11" s="17" t="n">
        <v>160</v>
      </c>
      <c r="H11" s="20" t="n">
        <v>25</v>
      </c>
      <c r="I11" s="16" t="inlineStr">
        <is>
          <t>Aprovar recomendação</t>
        </is>
      </c>
      <c r="J11" s="17" t="n"/>
      <c r="K11" s="25" t="inlineStr">
        <is>
          <t>Aumento limitado pelo teto</t>
        </is>
      </c>
      <c r="L11" s="26">
        <f>IF($C11="","",IFERROR(INDEX(Produtos!$B$4:$B$103,MATCH($C11,Produtos!$A$4:$A$103,0)),""))</f>
        <v/>
      </c>
      <c r="M11" s="26">
        <f>IF($C11="","",IFERROR(INDEX(Produtos!$C$4:$C$103,MATCH($C11,Produtos!$A$4:$A$103,0)),""))</f>
        <v/>
      </c>
      <c r="N11" s="19">
        <f>IF($C11="","",IFERROR(INDEX(Produtos!$D$4:$D$103,MATCH($C11,Produtos!$A$4:$A$103,0)),""))</f>
        <v/>
      </c>
      <c r="O11" s="27">
        <f>IF($C11="","",IFERROR(INDEX(Produtos!$E$4:$E$103,MATCH($C11,Produtos!$A$4:$A$103,0)),""))</f>
        <v/>
      </c>
      <c r="P11" s="19">
        <f>IF($C11="","",IFERROR(INDEX(Produtos!$G$4:$G$103,MATCH($C11,Produtos!$A$4:$A$103,0)),""))</f>
        <v/>
      </c>
      <c r="Q11" s="19">
        <f>IF($C11="","",IFERROR(INDEX(Produtos!$H$4:$H$103,MATCH($C11,Produtos!$A$4:$A$103,0)),""))</f>
        <v/>
      </c>
      <c r="R11" s="19">
        <f>IF($C11="","",IFERROR(INDEX(Produtos!$I$4:$I$103,MATCH($C11,Produtos!$A$4:$A$103,0)),""))</f>
        <v/>
      </c>
      <c r="S11" s="28">
        <f>IF($C11="","",IFERROR(INDEX(Produtos!$J$4:$J$103,MATCH($C11,Produtos!$A$4:$A$103,0)),""))</f>
        <v/>
      </c>
      <c r="T11" s="27">
        <f>IF($AG11&lt;&gt;"Pronta","",IFERROR(IF($F11&lt;=INDEX(Regras!$C$4:$C$103,MATCH($D11,Regras!$A$4:$A$103,0)),INDEX(Regras!$E$4:$E$103,MATCH($D11,Regras!$A$4:$A$103,0)),IF($F11&gt;=INDEX(Regras!$D$4:$D$103,MATCH($D11,Regras!$A$4:$A$103,0)),INDEX(Regras!$F$4:$F$103,MATCH($D11,Regras!$A$4:$A$103,0)),0)),""))</f>
        <v/>
      </c>
      <c r="U11" s="27">
        <f>IF($AG11&lt;&gt;"Pronta","",IFERROR(IF($G11="",0,IF($G11&lt;=$E11*(1-INDEX(Regras!$G$4:$G$103,MATCH($D11,Regras!$A$4:$A$103,0))),INDEX(Regras!$H$4:$H$103,MATCH($D11,Regras!$A$4:$A$103,0)),IF($G11&gt;=$E11*(1+INDEX(Regras!$G$4:$G$103,MATCH($D11,Regras!$A$4:$A$103,0))),INDEX(Regras!$I$4:$I$103,MATCH($D11,Regras!$A$4:$A$103,0)),0))),""))</f>
        <v/>
      </c>
      <c r="V11" s="27">
        <f>IF($AG11&lt;&gt;"Pronta","",IFERROR(IF($H11/$S11&lt;=INDEX(Regras!$J$4:$J$103,MATCH($D11,Regras!$A$4:$A$103,0)),INDEX(Regras!$L$4:$L$103,MATCH($D11,Regras!$A$4:$A$103,0)),IF($H11/$S11&gt;=INDEX(Regras!$K$4:$K$103,MATCH($D11,Regras!$A$4:$A$103,0)),INDEX(Regras!$M$4:$M$103,MATCH($D11,Regras!$A$4:$A$103,0)),0)),""))</f>
        <v/>
      </c>
      <c r="W11" s="27">
        <f>IF($AG11&lt;&gt;"Pronta","",SUM($T11:$V11))</f>
        <v/>
      </c>
      <c r="X11" s="27">
        <f>IF($AG11&lt;&gt;"Pronta","",IFERROR(MAX(-INDEX(Regras!$N$4:$N$103,MATCH($D11,Regras!$A$4:$A$103,0)),MIN(INDEX(Regras!$N$4:$N$103,MATCH($D11,Regras!$A$4:$A$103,0)),$W11)),""))</f>
        <v/>
      </c>
      <c r="Y11" s="19">
        <f>IF($AG11&lt;&gt;"Pronta","",IFERROR(ROUND($E11*(1+$X11),2),""))</f>
        <v/>
      </c>
      <c r="Z11" s="29">
        <f>IF(OR($AG11&lt;&gt;"Pronta",$Q11="",$R11=""),"",IFERROR(ROUND(MIN($R11,MAX($Q11,$Y11)),2),""))</f>
        <v/>
      </c>
      <c r="AA11" s="27">
        <f>IF(OR($E11="",$Z11=""),"",IFERROR($Z11/$E11-1,""))</f>
        <v/>
      </c>
      <c r="AB11" s="26">
        <f>IF($Z11="","",IF($Y11&lt;$Q11,"Piso",IF($Y11&gt;$R11,"Teto","Nenhuma")))</f>
        <v/>
      </c>
      <c r="AC11" s="21">
        <f>IF($A11="","",IF($AG11&lt;&gt;"Pronta","Aguardando dados válidos",_xlfn.TEXTJOIN(" | ",TRUE,IF($T11&gt;0,"Demanda: aumento",IF($T11&lt;0,"Demanda: redução","")),IF($U11&gt;0,"Concorrência: aumento",IF($U11&lt;0,"Concorrência: redução","")),IF($V11&gt;0,"Estoque: aumento",IF($V11&lt;0,"Estoque: redução","")),IF(ABS($W11-$X11)&gt;0.0000001,"Limite da rodada aplicado",""),IF($AB11="Piso","Piso vigente aplicado",IF($AB11="Teto","Teto aplicado","")),IF(AND($T11=0,$U11=0,$V11=0),"Sem gatilho de reajuste",""))))</f>
        <v/>
      </c>
      <c r="AD11" s="21">
        <f>IF(OR($A11="",$AG11&lt;&gt;"Pronta"),"",_xlfn.TEXTJOIN(" | ",TRUE,IF($E11&lt;$Q11,"Preço atual abaixo do piso",""),IF($E11&gt;$R11,"Preço atual acima do teto",""),IF(AND($N11&gt;0,$E11&gt;0,1-$N11/$E11&lt;$O11),"Margem estimada do preço atual abaixo do mínimo",""),IF($G11="","Preço concorrente não informado",""),IF($AB11="Piso","Recomendação travada no piso",""),IF($AB11="Teto","Recomendação travada no teto","")))</f>
        <v/>
      </c>
      <c r="AE11" s="19">
        <f>IF($AG11&lt;&gt;"Pronta","",IF($I11="Aprovar recomendação",$Z11,IF($I11="Manter preço atual",$E11,IF($I11="Definir manualmente",$J11,""))))</f>
        <v/>
      </c>
      <c r="AF11" s="21">
        <f>IF($A11="","",IF($AG11&lt;&gt;"Pronta","Aguardando correção",IF(OR($I11="",$I11="Pendente"),"Decisão pendente",IF(AND($I11="Definir manualmente",OR($J11="",$J11&lt;=0)),"Informe o preço manual",IF(OR($AE11&lt;$Q11,$AE11&gt;$R11),"Preço final fora do piso/teto","OK")))))</f>
        <v/>
      </c>
      <c r="AG11" s="26">
        <f>IF(COUNTA($A11:$K11)=0,"",IF(OR($A11="",$B11="",$C11="",$D11="",$E11="",$F11="",$H11=""),"Incompleta",IF(OR(COUNTIF($A$5:$A$204,$A11)&gt;1,NOT(ISNUMBER($B11)),COUNTIF(Produtos!$A$4:$A$103,$C11)&lt;&gt;1,IFERROR(INDEX(Produtos!$K$4:$K$103,MATCH($C11,Produtos!$A$4:$A$103,0))&lt;&gt;"Ativo",TRUE),IFERROR(INDEX(Produtos!$L$4:$L$103,MATCH($C11,Produtos!$A$4:$A$103,0))&lt;&gt;"OK",TRUE),COUNTIF(Regras!$A$4:$A$103,$D11)&lt;&gt;1,IFERROR(INDEX(Regras!$O$4:$O$103,MATCH($D11,Regras!$A$4:$A$103,0))&lt;&gt;"Sim",TRUE),IFERROR(INDEX(Regras!$P$4:$P$103,MATCH($D11,Regras!$A$4:$A$103,0))&lt;&gt;"OK",TRUE),NOT(ISNUMBER($E11)),$E11&lt;=0,NOT(ISNUMBER($F11)),$F11&lt;0,$F11&gt;5,NOT(ISNUMBER($H11)),$H11&lt;0,$H11&lt;&gt;INT($H11),AND($G11&lt;&gt;"",OR(NOT(ISNUMBER($G11)),$G11&lt;=0))),"Revisar","Pronta")))</f>
        <v/>
      </c>
    </row>
    <row r="12">
      <c r="A12" s="16" t="inlineStr">
        <is>
          <t>RD-FIC-0008</t>
        </is>
      </c>
      <c r="B12" s="24" t="n">
        <v>46269</v>
      </c>
      <c r="C12" s="16" t="inlineStr">
        <is>
          <t>FIC-004</t>
        </is>
      </c>
      <c r="D12" s="16" t="inlineStr">
        <is>
          <t>R-COMP</t>
        </is>
      </c>
      <c r="E12" s="17" t="n">
        <v>95</v>
      </c>
      <c r="F12" s="18" t="n">
        <v>0.88</v>
      </c>
      <c r="G12" s="17" t="n">
        <v>93.5</v>
      </c>
      <c r="H12" s="20" t="n">
        <v>40</v>
      </c>
      <c r="I12" s="16" t="inlineStr">
        <is>
          <t>Definir manualmente</t>
        </is>
      </c>
      <c r="J12" s="17" t="n">
        <v>92</v>
      </c>
      <c r="K12" s="25" t="inlineStr">
        <is>
          <t>Ajuste manual fictício dentro dos limites</t>
        </is>
      </c>
      <c r="L12" s="26">
        <f>IF($C12="","",IFERROR(INDEX(Produtos!$B$4:$B$103,MATCH($C12,Produtos!$A$4:$A$103,0)),""))</f>
        <v/>
      </c>
      <c r="M12" s="26">
        <f>IF($C12="","",IFERROR(INDEX(Produtos!$C$4:$C$103,MATCH($C12,Produtos!$A$4:$A$103,0)),""))</f>
        <v/>
      </c>
      <c r="N12" s="19">
        <f>IF($C12="","",IFERROR(INDEX(Produtos!$D$4:$D$103,MATCH($C12,Produtos!$A$4:$A$103,0)),""))</f>
        <v/>
      </c>
      <c r="O12" s="27">
        <f>IF($C12="","",IFERROR(INDEX(Produtos!$E$4:$E$103,MATCH($C12,Produtos!$A$4:$A$103,0)),""))</f>
        <v/>
      </c>
      <c r="P12" s="19">
        <f>IF($C12="","",IFERROR(INDEX(Produtos!$G$4:$G$103,MATCH($C12,Produtos!$A$4:$A$103,0)),""))</f>
        <v/>
      </c>
      <c r="Q12" s="19">
        <f>IF($C12="","",IFERROR(INDEX(Produtos!$H$4:$H$103,MATCH($C12,Produtos!$A$4:$A$103,0)),""))</f>
        <v/>
      </c>
      <c r="R12" s="19">
        <f>IF($C12="","",IFERROR(INDEX(Produtos!$I$4:$I$103,MATCH($C12,Produtos!$A$4:$A$103,0)),""))</f>
        <v/>
      </c>
      <c r="S12" s="28">
        <f>IF($C12="","",IFERROR(INDEX(Produtos!$J$4:$J$103,MATCH($C12,Produtos!$A$4:$A$103,0)),""))</f>
        <v/>
      </c>
      <c r="T12" s="27">
        <f>IF($AG12&lt;&gt;"Pronta","",IFERROR(IF($F12&lt;=INDEX(Regras!$C$4:$C$103,MATCH($D12,Regras!$A$4:$A$103,0)),INDEX(Regras!$E$4:$E$103,MATCH($D12,Regras!$A$4:$A$103,0)),IF($F12&gt;=INDEX(Regras!$D$4:$D$103,MATCH($D12,Regras!$A$4:$A$103,0)),INDEX(Regras!$F$4:$F$103,MATCH($D12,Regras!$A$4:$A$103,0)),0)),""))</f>
        <v/>
      </c>
      <c r="U12" s="27">
        <f>IF($AG12&lt;&gt;"Pronta","",IFERROR(IF($G12="",0,IF($G12&lt;=$E12*(1-INDEX(Regras!$G$4:$G$103,MATCH($D12,Regras!$A$4:$A$103,0))),INDEX(Regras!$H$4:$H$103,MATCH($D12,Regras!$A$4:$A$103,0)),IF($G12&gt;=$E12*(1+INDEX(Regras!$G$4:$G$103,MATCH($D12,Regras!$A$4:$A$103,0))),INDEX(Regras!$I$4:$I$103,MATCH($D12,Regras!$A$4:$A$103,0)),0))),""))</f>
        <v/>
      </c>
      <c r="V12" s="27">
        <f>IF($AG12&lt;&gt;"Pronta","",IFERROR(IF($H12/$S12&lt;=INDEX(Regras!$J$4:$J$103,MATCH($D12,Regras!$A$4:$A$103,0)),INDEX(Regras!$L$4:$L$103,MATCH($D12,Regras!$A$4:$A$103,0)),IF($H12/$S12&gt;=INDEX(Regras!$K$4:$K$103,MATCH($D12,Regras!$A$4:$A$103,0)),INDEX(Regras!$M$4:$M$103,MATCH($D12,Regras!$A$4:$A$103,0)),0)),""))</f>
        <v/>
      </c>
      <c r="W12" s="27">
        <f>IF($AG12&lt;&gt;"Pronta","",SUM($T12:$V12))</f>
        <v/>
      </c>
      <c r="X12" s="27">
        <f>IF($AG12&lt;&gt;"Pronta","",IFERROR(MAX(-INDEX(Regras!$N$4:$N$103,MATCH($D12,Regras!$A$4:$A$103,0)),MIN(INDEX(Regras!$N$4:$N$103,MATCH($D12,Regras!$A$4:$A$103,0)),$W12)),""))</f>
        <v/>
      </c>
      <c r="Y12" s="19">
        <f>IF($AG12&lt;&gt;"Pronta","",IFERROR(ROUND($E12*(1+$X12),2),""))</f>
        <v/>
      </c>
      <c r="Z12" s="29">
        <f>IF(OR($AG12&lt;&gt;"Pronta",$Q12="",$R12=""),"",IFERROR(ROUND(MIN($R12,MAX($Q12,$Y12)),2),""))</f>
        <v/>
      </c>
      <c r="AA12" s="27">
        <f>IF(OR($E12="",$Z12=""),"",IFERROR($Z12/$E12-1,""))</f>
        <v/>
      </c>
      <c r="AB12" s="26">
        <f>IF($Z12="","",IF($Y12&lt;$Q12,"Piso",IF($Y12&gt;$R12,"Teto","Nenhuma")))</f>
        <v/>
      </c>
      <c r="AC12" s="21">
        <f>IF($A12="","",IF($AG12&lt;&gt;"Pronta","Aguardando dados válidos",_xlfn.TEXTJOIN(" | ",TRUE,IF($T12&gt;0,"Demanda: aumento",IF($T12&lt;0,"Demanda: redução","")),IF($U12&gt;0,"Concorrência: aumento",IF($U12&lt;0,"Concorrência: redução","")),IF($V12&gt;0,"Estoque: aumento",IF($V12&lt;0,"Estoque: redução","")),IF(ABS($W12-$X12)&gt;0.0000001,"Limite da rodada aplicado",""),IF($AB12="Piso","Piso vigente aplicado",IF($AB12="Teto","Teto aplicado","")),IF(AND($T12=0,$U12=0,$V12=0),"Sem gatilho de reajuste",""))))</f>
        <v/>
      </c>
      <c r="AD12" s="21">
        <f>IF(OR($A12="",$AG12&lt;&gt;"Pronta"),"",_xlfn.TEXTJOIN(" | ",TRUE,IF($E12&lt;$Q12,"Preço atual abaixo do piso",""),IF($E12&gt;$R12,"Preço atual acima do teto",""),IF(AND($N12&gt;0,$E12&gt;0,1-$N12/$E12&lt;$O12),"Margem estimada do preço atual abaixo do mínimo",""),IF($G12="","Preço concorrente não informado",""),IF($AB12="Piso","Recomendação travada no piso",""),IF($AB12="Teto","Recomendação travada no teto","")))</f>
        <v/>
      </c>
      <c r="AE12" s="19">
        <f>IF($AG12&lt;&gt;"Pronta","",IF($I12="Aprovar recomendação",$Z12,IF($I12="Manter preço atual",$E12,IF($I12="Definir manualmente",$J12,""))))</f>
        <v/>
      </c>
      <c r="AF12" s="21">
        <f>IF($A12="","",IF($AG12&lt;&gt;"Pronta","Aguardando correção",IF(OR($I12="",$I12="Pendente"),"Decisão pendente",IF(AND($I12="Definir manualmente",OR($J12="",$J12&lt;=0)),"Informe o preço manual",IF(OR($AE12&lt;$Q12,$AE12&gt;$R12),"Preço final fora do piso/teto","OK")))))</f>
        <v/>
      </c>
      <c r="AG12" s="26">
        <f>IF(COUNTA($A12:$K12)=0,"",IF(OR($A12="",$B12="",$C12="",$D12="",$E12="",$F12="",$H12=""),"Incompleta",IF(OR(COUNTIF($A$5:$A$204,$A12)&gt;1,NOT(ISNUMBER($B12)),COUNTIF(Produtos!$A$4:$A$103,$C12)&lt;&gt;1,IFERROR(INDEX(Produtos!$K$4:$K$103,MATCH($C12,Produtos!$A$4:$A$103,0))&lt;&gt;"Ativo",TRUE),IFERROR(INDEX(Produtos!$L$4:$L$103,MATCH($C12,Produtos!$A$4:$A$103,0))&lt;&gt;"OK",TRUE),COUNTIF(Regras!$A$4:$A$103,$D12)&lt;&gt;1,IFERROR(INDEX(Regras!$O$4:$O$103,MATCH($D12,Regras!$A$4:$A$103,0))&lt;&gt;"Sim",TRUE),IFERROR(INDEX(Regras!$P$4:$P$103,MATCH($D12,Regras!$A$4:$A$103,0))&lt;&gt;"OK",TRUE),NOT(ISNUMBER($E12)),$E12&lt;=0,NOT(ISNUMBER($F12)),$F12&lt;0,$F12&gt;5,NOT(ISNUMBER($H12)),$H12&lt;0,$H12&lt;&gt;INT($H12),AND($G12&lt;&gt;"",OR(NOT(ISNUMBER($G12)),$G12&lt;=0))),"Revisar","Pronta")))</f>
        <v/>
      </c>
    </row>
    <row r="13">
      <c r="A13" s="16" t="inlineStr">
        <is>
          <t>RD-FIC-0009</t>
        </is>
      </c>
      <c r="B13" s="24" t="n">
        <v>46270</v>
      </c>
      <c r="C13" s="16" t="inlineStr">
        <is>
          <t>FIC-006</t>
        </is>
      </c>
      <c r="D13" s="16" t="inlineStr">
        <is>
          <t>R-BASE</t>
        </is>
      </c>
      <c r="E13" s="17" t="n">
        <v>79.90000000000001</v>
      </c>
      <c r="F13" s="18" t="n">
        <v>1</v>
      </c>
      <c r="G13" s="17" t="n"/>
      <c r="H13" s="20" t="n">
        <v>120</v>
      </c>
      <c r="I13" s="16" t="inlineStr">
        <is>
          <t>Pendente</t>
        </is>
      </c>
      <c r="J13" s="17" t="n"/>
      <c r="K13" s="25" t="inlineStr">
        <is>
          <t>Aguardando decisão interna fictícia</t>
        </is>
      </c>
      <c r="L13" s="26">
        <f>IF($C13="","",IFERROR(INDEX(Produtos!$B$4:$B$103,MATCH($C13,Produtos!$A$4:$A$103,0)),""))</f>
        <v/>
      </c>
      <c r="M13" s="26">
        <f>IF($C13="","",IFERROR(INDEX(Produtos!$C$4:$C$103,MATCH($C13,Produtos!$A$4:$A$103,0)),""))</f>
        <v/>
      </c>
      <c r="N13" s="19">
        <f>IF($C13="","",IFERROR(INDEX(Produtos!$D$4:$D$103,MATCH($C13,Produtos!$A$4:$A$103,0)),""))</f>
        <v/>
      </c>
      <c r="O13" s="27">
        <f>IF($C13="","",IFERROR(INDEX(Produtos!$E$4:$E$103,MATCH($C13,Produtos!$A$4:$A$103,0)),""))</f>
        <v/>
      </c>
      <c r="P13" s="19">
        <f>IF($C13="","",IFERROR(INDEX(Produtos!$G$4:$G$103,MATCH($C13,Produtos!$A$4:$A$103,0)),""))</f>
        <v/>
      </c>
      <c r="Q13" s="19">
        <f>IF($C13="","",IFERROR(INDEX(Produtos!$H$4:$H$103,MATCH($C13,Produtos!$A$4:$A$103,0)),""))</f>
        <v/>
      </c>
      <c r="R13" s="19">
        <f>IF($C13="","",IFERROR(INDEX(Produtos!$I$4:$I$103,MATCH($C13,Produtos!$A$4:$A$103,0)),""))</f>
        <v/>
      </c>
      <c r="S13" s="28">
        <f>IF($C13="","",IFERROR(INDEX(Produtos!$J$4:$J$103,MATCH($C13,Produtos!$A$4:$A$103,0)),""))</f>
        <v/>
      </c>
      <c r="T13" s="27">
        <f>IF($AG13&lt;&gt;"Pronta","",IFERROR(IF($F13&lt;=INDEX(Regras!$C$4:$C$103,MATCH($D13,Regras!$A$4:$A$103,0)),INDEX(Regras!$E$4:$E$103,MATCH($D13,Regras!$A$4:$A$103,0)),IF($F13&gt;=INDEX(Regras!$D$4:$D$103,MATCH($D13,Regras!$A$4:$A$103,0)),INDEX(Regras!$F$4:$F$103,MATCH($D13,Regras!$A$4:$A$103,0)),0)),""))</f>
        <v/>
      </c>
      <c r="U13" s="27">
        <f>IF($AG13&lt;&gt;"Pronta","",IFERROR(IF($G13="",0,IF($G13&lt;=$E13*(1-INDEX(Regras!$G$4:$G$103,MATCH($D13,Regras!$A$4:$A$103,0))),INDEX(Regras!$H$4:$H$103,MATCH($D13,Regras!$A$4:$A$103,0)),IF($G13&gt;=$E13*(1+INDEX(Regras!$G$4:$G$103,MATCH($D13,Regras!$A$4:$A$103,0))),INDEX(Regras!$I$4:$I$103,MATCH($D13,Regras!$A$4:$A$103,0)),0))),""))</f>
        <v/>
      </c>
      <c r="V13" s="27">
        <f>IF($AG13&lt;&gt;"Pronta","",IFERROR(IF($H13/$S13&lt;=INDEX(Regras!$J$4:$J$103,MATCH($D13,Regras!$A$4:$A$103,0)),INDEX(Regras!$L$4:$L$103,MATCH($D13,Regras!$A$4:$A$103,0)),IF($H13/$S13&gt;=INDEX(Regras!$K$4:$K$103,MATCH($D13,Regras!$A$4:$A$103,0)),INDEX(Regras!$M$4:$M$103,MATCH($D13,Regras!$A$4:$A$103,0)),0)),""))</f>
        <v/>
      </c>
      <c r="W13" s="27">
        <f>IF($AG13&lt;&gt;"Pronta","",SUM($T13:$V13))</f>
        <v/>
      </c>
      <c r="X13" s="27">
        <f>IF($AG13&lt;&gt;"Pronta","",IFERROR(MAX(-INDEX(Regras!$N$4:$N$103,MATCH($D13,Regras!$A$4:$A$103,0)),MIN(INDEX(Regras!$N$4:$N$103,MATCH($D13,Regras!$A$4:$A$103,0)),$W13)),""))</f>
        <v/>
      </c>
      <c r="Y13" s="19">
        <f>IF($AG13&lt;&gt;"Pronta","",IFERROR(ROUND($E13*(1+$X13),2),""))</f>
        <v/>
      </c>
      <c r="Z13" s="29">
        <f>IF(OR($AG13&lt;&gt;"Pronta",$Q13="",$R13=""),"",IFERROR(ROUND(MIN($R13,MAX($Q13,$Y13)),2),""))</f>
        <v/>
      </c>
      <c r="AA13" s="27">
        <f>IF(OR($E13="",$Z13=""),"",IFERROR($Z13/$E13-1,""))</f>
        <v/>
      </c>
      <c r="AB13" s="26">
        <f>IF($Z13="","",IF($Y13&lt;$Q13,"Piso",IF($Y13&gt;$R13,"Teto","Nenhuma")))</f>
        <v/>
      </c>
      <c r="AC13" s="21">
        <f>IF($A13="","",IF($AG13&lt;&gt;"Pronta","Aguardando dados válidos",_xlfn.TEXTJOIN(" | ",TRUE,IF($T13&gt;0,"Demanda: aumento",IF($T13&lt;0,"Demanda: redução","")),IF($U13&gt;0,"Concorrência: aumento",IF($U13&lt;0,"Concorrência: redução","")),IF($V13&gt;0,"Estoque: aumento",IF($V13&lt;0,"Estoque: redução","")),IF(ABS($W13-$X13)&gt;0.0000001,"Limite da rodada aplicado",""),IF($AB13="Piso","Piso vigente aplicado",IF($AB13="Teto","Teto aplicado","")),IF(AND($T13=0,$U13=0,$V13=0),"Sem gatilho de reajuste",""))))</f>
        <v/>
      </c>
      <c r="AD13" s="21">
        <f>IF(OR($A13="",$AG13&lt;&gt;"Pronta"),"",_xlfn.TEXTJOIN(" | ",TRUE,IF($E13&lt;$Q13,"Preço atual abaixo do piso",""),IF($E13&gt;$R13,"Preço atual acima do teto",""),IF(AND($N13&gt;0,$E13&gt;0,1-$N13/$E13&lt;$O13),"Margem estimada do preço atual abaixo do mínimo",""),IF($G13="","Preço concorrente não informado",""),IF($AB13="Piso","Recomendação travada no piso",""),IF($AB13="Teto","Recomendação travada no teto","")))</f>
        <v/>
      </c>
      <c r="AE13" s="19">
        <f>IF($AG13&lt;&gt;"Pronta","",IF($I13="Aprovar recomendação",$Z13,IF($I13="Manter preço atual",$E13,IF($I13="Definir manualmente",$J13,""))))</f>
        <v/>
      </c>
      <c r="AF13" s="21">
        <f>IF($A13="","",IF($AG13&lt;&gt;"Pronta","Aguardando correção",IF(OR($I13="",$I13="Pendente"),"Decisão pendente",IF(AND($I13="Definir manualmente",OR($J13="",$J13&lt;=0)),"Informe o preço manual",IF(OR($AE13&lt;$Q13,$AE13&gt;$R13),"Preço final fora do piso/teto","OK")))))</f>
        <v/>
      </c>
      <c r="AG13" s="26">
        <f>IF(COUNTA($A13:$K13)=0,"",IF(OR($A13="",$B13="",$C13="",$D13="",$E13="",$F13="",$H13=""),"Incompleta",IF(OR(COUNTIF($A$5:$A$204,$A13)&gt;1,NOT(ISNUMBER($B13)),COUNTIF(Produtos!$A$4:$A$103,$C13)&lt;&gt;1,IFERROR(INDEX(Produtos!$K$4:$K$103,MATCH($C13,Produtos!$A$4:$A$103,0))&lt;&gt;"Ativo",TRUE),IFERROR(INDEX(Produtos!$L$4:$L$103,MATCH($C13,Produtos!$A$4:$A$103,0))&lt;&gt;"OK",TRUE),COUNTIF(Regras!$A$4:$A$103,$D13)&lt;&gt;1,IFERROR(INDEX(Regras!$O$4:$O$103,MATCH($D13,Regras!$A$4:$A$103,0))&lt;&gt;"Sim",TRUE),IFERROR(INDEX(Regras!$P$4:$P$103,MATCH($D13,Regras!$A$4:$A$103,0))&lt;&gt;"OK",TRUE),NOT(ISNUMBER($E13)),$E13&lt;=0,NOT(ISNUMBER($F13)),$F13&lt;0,$F13&gt;5,NOT(ISNUMBER($H13)),$H13&lt;0,$H13&lt;&gt;INT($H13),AND($G13&lt;&gt;"",OR(NOT(ISNUMBER($G13)),$G13&lt;=0))),"Revisar","Pronta")))</f>
        <v/>
      </c>
    </row>
    <row r="14">
      <c r="A14" s="16" t="inlineStr">
        <is>
          <t>RD-FIC-0010</t>
        </is>
      </c>
      <c r="B14" s="24" t="n">
        <v>46270</v>
      </c>
      <c r="C14" s="16" t="inlineStr">
        <is>
          <t>FIC-002</t>
        </is>
      </c>
      <c r="D14" s="16" t="inlineStr">
        <is>
          <t>R-AGIL</t>
        </is>
      </c>
      <c r="E14" s="17" t="n">
        <v>86</v>
      </c>
      <c r="F14" s="18" t="n">
        <v>1.18</v>
      </c>
      <c r="G14" s="17" t="n">
        <v>95</v>
      </c>
      <c r="H14" s="20" t="n">
        <v>40</v>
      </c>
      <c r="I14" s="16" t="inlineStr">
        <is>
          <t>Aprovar recomendação</t>
        </is>
      </c>
      <c r="J14" s="17" t="n"/>
      <c r="K14" s="25" t="inlineStr">
        <is>
          <t>Aumento limitado pelo teto</t>
        </is>
      </c>
      <c r="L14" s="26">
        <f>IF($C14="","",IFERROR(INDEX(Produtos!$B$4:$B$103,MATCH($C14,Produtos!$A$4:$A$103,0)),""))</f>
        <v/>
      </c>
      <c r="M14" s="26">
        <f>IF($C14="","",IFERROR(INDEX(Produtos!$C$4:$C$103,MATCH($C14,Produtos!$A$4:$A$103,0)),""))</f>
        <v/>
      </c>
      <c r="N14" s="19">
        <f>IF($C14="","",IFERROR(INDEX(Produtos!$D$4:$D$103,MATCH($C14,Produtos!$A$4:$A$103,0)),""))</f>
        <v/>
      </c>
      <c r="O14" s="27">
        <f>IF($C14="","",IFERROR(INDEX(Produtos!$E$4:$E$103,MATCH($C14,Produtos!$A$4:$A$103,0)),""))</f>
        <v/>
      </c>
      <c r="P14" s="19">
        <f>IF($C14="","",IFERROR(INDEX(Produtos!$G$4:$G$103,MATCH($C14,Produtos!$A$4:$A$103,0)),""))</f>
        <v/>
      </c>
      <c r="Q14" s="19">
        <f>IF($C14="","",IFERROR(INDEX(Produtos!$H$4:$H$103,MATCH($C14,Produtos!$A$4:$A$103,0)),""))</f>
        <v/>
      </c>
      <c r="R14" s="19">
        <f>IF($C14="","",IFERROR(INDEX(Produtos!$I$4:$I$103,MATCH($C14,Produtos!$A$4:$A$103,0)),""))</f>
        <v/>
      </c>
      <c r="S14" s="28">
        <f>IF($C14="","",IFERROR(INDEX(Produtos!$J$4:$J$103,MATCH($C14,Produtos!$A$4:$A$103,0)),""))</f>
        <v/>
      </c>
      <c r="T14" s="27">
        <f>IF($AG14&lt;&gt;"Pronta","",IFERROR(IF($F14&lt;=INDEX(Regras!$C$4:$C$103,MATCH($D14,Regras!$A$4:$A$103,0)),INDEX(Regras!$E$4:$E$103,MATCH($D14,Regras!$A$4:$A$103,0)),IF($F14&gt;=INDEX(Regras!$D$4:$D$103,MATCH($D14,Regras!$A$4:$A$103,0)),INDEX(Regras!$F$4:$F$103,MATCH($D14,Regras!$A$4:$A$103,0)),0)),""))</f>
        <v/>
      </c>
      <c r="U14" s="27">
        <f>IF($AG14&lt;&gt;"Pronta","",IFERROR(IF($G14="",0,IF($G14&lt;=$E14*(1-INDEX(Regras!$G$4:$G$103,MATCH($D14,Regras!$A$4:$A$103,0))),INDEX(Regras!$H$4:$H$103,MATCH($D14,Regras!$A$4:$A$103,0)),IF($G14&gt;=$E14*(1+INDEX(Regras!$G$4:$G$103,MATCH($D14,Regras!$A$4:$A$103,0))),INDEX(Regras!$I$4:$I$103,MATCH($D14,Regras!$A$4:$A$103,0)),0))),""))</f>
        <v/>
      </c>
      <c r="V14" s="27">
        <f>IF($AG14&lt;&gt;"Pronta","",IFERROR(IF($H14/$S14&lt;=INDEX(Regras!$J$4:$J$103,MATCH($D14,Regras!$A$4:$A$103,0)),INDEX(Regras!$L$4:$L$103,MATCH($D14,Regras!$A$4:$A$103,0)),IF($H14/$S14&gt;=INDEX(Regras!$K$4:$K$103,MATCH($D14,Regras!$A$4:$A$103,0)),INDEX(Regras!$M$4:$M$103,MATCH($D14,Regras!$A$4:$A$103,0)),0)),""))</f>
        <v/>
      </c>
      <c r="W14" s="27">
        <f>IF($AG14&lt;&gt;"Pronta","",SUM($T14:$V14))</f>
        <v/>
      </c>
      <c r="X14" s="27">
        <f>IF($AG14&lt;&gt;"Pronta","",IFERROR(MAX(-INDEX(Regras!$N$4:$N$103,MATCH($D14,Regras!$A$4:$A$103,0)),MIN(INDEX(Regras!$N$4:$N$103,MATCH($D14,Regras!$A$4:$A$103,0)),$W14)),""))</f>
        <v/>
      </c>
      <c r="Y14" s="19">
        <f>IF($AG14&lt;&gt;"Pronta","",IFERROR(ROUND($E14*(1+$X14),2),""))</f>
        <v/>
      </c>
      <c r="Z14" s="29">
        <f>IF(OR($AG14&lt;&gt;"Pronta",$Q14="",$R14=""),"",IFERROR(ROUND(MIN($R14,MAX($Q14,$Y14)),2),""))</f>
        <v/>
      </c>
      <c r="AA14" s="27">
        <f>IF(OR($E14="",$Z14=""),"",IFERROR($Z14/$E14-1,""))</f>
        <v/>
      </c>
      <c r="AB14" s="26">
        <f>IF($Z14="","",IF($Y14&lt;$Q14,"Piso",IF($Y14&gt;$R14,"Teto","Nenhuma")))</f>
        <v/>
      </c>
      <c r="AC14" s="21">
        <f>IF($A14="","",IF($AG14&lt;&gt;"Pronta","Aguardando dados válidos",_xlfn.TEXTJOIN(" | ",TRUE,IF($T14&gt;0,"Demanda: aumento",IF($T14&lt;0,"Demanda: redução","")),IF($U14&gt;0,"Concorrência: aumento",IF($U14&lt;0,"Concorrência: redução","")),IF($V14&gt;0,"Estoque: aumento",IF($V14&lt;0,"Estoque: redução","")),IF(ABS($W14-$X14)&gt;0.0000001,"Limite da rodada aplicado",""),IF($AB14="Piso","Piso vigente aplicado",IF($AB14="Teto","Teto aplicado","")),IF(AND($T14=0,$U14=0,$V14=0),"Sem gatilho de reajuste",""))))</f>
        <v/>
      </c>
      <c r="AD14" s="21">
        <f>IF(OR($A14="",$AG14&lt;&gt;"Pronta"),"",_xlfn.TEXTJOIN(" | ",TRUE,IF($E14&lt;$Q14,"Preço atual abaixo do piso",""),IF($E14&gt;$R14,"Preço atual acima do teto",""),IF(AND($N14&gt;0,$E14&gt;0,1-$N14/$E14&lt;$O14),"Margem estimada do preço atual abaixo do mínimo",""),IF($G14="","Preço concorrente não informado",""),IF($AB14="Piso","Recomendação travada no piso",""),IF($AB14="Teto","Recomendação travada no teto","")))</f>
        <v/>
      </c>
      <c r="AE14" s="19">
        <f>IF($AG14&lt;&gt;"Pronta","",IF($I14="Aprovar recomendação",$Z14,IF($I14="Manter preço atual",$E14,IF($I14="Definir manualmente",$J14,""))))</f>
        <v/>
      </c>
      <c r="AF14" s="21">
        <f>IF($A14="","",IF($AG14&lt;&gt;"Pronta","Aguardando correção",IF(OR($I14="",$I14="Pendente"),"Decisão pendente",IF(AND($I14="Definir manualmente",OR($J14="",$J14&lt;=0)),"Informe o preço manual",IF(OR($AE14&lt;$Q14,$AE14&gt;$R14),"Preço final fora do piso/teto","OK")))))</f>
        <v/>
      </c>
      <c r="AG14" s="26">
        <f>IF(COUNTA($A14:$K14)=0,"",IF(OR($A14="",$B14="",$C14="",$D14="",$E14="",$F14="",$H14=""),"Incompleta",IF(OR(COUNTIF($A$5:$A$204,$A14)&gt;1,NOT(ISNUMBER($B14)),COUNTIF(Produtos!$A$4:$A$103,$C14)&lt;&gt;1,IFERROR(INDEX(Produtos!$K$4:$K$103,MATCH($C14,Produtos!$A$4:$A$103,0))&lt;&gt;"Ativo",TRUE),IFERROR(INDEX(Produtos!$L$4:$L$103,MATCH($C14,Produtos!$A$4:$A$103,0))&lt;&gt;"OK",TRUE),COUNTIF(Regras!$A$4:$A$103,$D14)&lt;&gt;1,IFERROR(INDEX(Regras!$O$4:$O$103,MATCH($D14,Regras!$A$4:$A$103,0))&lt;&gt;"Sim",TRUE),IFERROR(INDEX(Regras!$P$4:$P$103,MATCH($D14,Regras!$A$4:$A$103,0))&lt;&gt;"OK",TRUE),NOT(ISNUMBER($E14)),$E14&lt;=0,NOT(ISNUMBER($F14)),$F14&lt;0,$F14&gt;5,NOT(ISNUMBER($H14)),$H14&lt;0,$H14&lt;&gt;INT($H14),AND($G14&lt;&gt;"",OR(NOT(ISNUMBER($G14)),$G14&lt;=0))),"Revisar","Pronta")))</f>
        <v/>
      </c>
    </row>
    <row r="15">
      <c r="A15" s="16" t="n"/>
      <c r="B15" s="24" t="n"/>
      <c r="C15" s="16" t="n"/>
      <c r="D15" s="16" t="n"/>
      <c r="E15" s="17" t="n"/>
      <c r="F15" s="18" t="n"/>
      <c r="G15" s="17" t="n"/>
      <c r="H15" s="20" t="n"/>
      <c r="I15" s="16" t="n"/>
      <c r="J15" s="17" t="n"/>
      <c r="K15" s="25" t="n"/>
      <c r="L15" s="26">
        <f>IF($C15="","",IFERROR(INDEX(Produtos!$B$4:$B$103,MATCH($C15,Produtos!$A$4:$A$103,0)),""))</f>
        <v/>
      </c>
      <c r="M15" s="26">
        <f>IF($C15="","",IFERROR(INDEX(Produtos!$C$4:$C$103,MATCH($C15,Produtos!$A$4:$A$103,0)),""))</f>
        <v/>
      </c>
      <c r="N15" s="19">
        <f>IF($C15="","",IFERROR(INDEX(Produtos!$D$4:$D$103,MATCH($C15,Produtos!$A$4:$A$103,0)),""))</f>
        <v/>
      </c>
      <c r="O15" s="27">
        <f>IF($C15="","",IFERROR(INDEX(Produtos!$E$4:$E$103,MATCH($C15,Produtos!$A$4:$A$103,0)),""))</f>
        <v/>
      </c>
      <c r="P15" s="19">
        <f>IF($C15="","",IFERROR(INDEX(Produtos!$G$4:$G$103,MATCH($C15,Produtos!$A$4:$A$103,0)),""))</f>
        <v/>
      </c>
      <c r="Q15" s="19">
        <f>IF($C15="","",IFERROR(INDEX(Produtos!$H$4:$H$103,MATCH($C15,Produtos!$A$4:$A$103,0)),""))</f>
        <v/>
      </c>
      <c r="R15" s="19">
        <f>IF($C15="","",IFERROR(INDEX(Produtos!$I$4:$I$103,MATCH($C15,Produtos!$A$4:$A$103,0)),""))</f>
        <v/>
      </c>
      <c r="S15" s="28">
        <f>IF($C15="","",IFERROR(INDEX(Produtos!$J$4:$J$103,MATCH($C15,Produtos!$A$4:$A$103,0)),""))</f>
        <v/>
      </c>
      <c r="T15" s="27">
        <f>IF($AG15&lt;&gt;"Pronta","",IFERROR(IF($F15&lt;=INDEX(Regras!$C$4:$C$103,MATCH($D15,Regras!$A$4:$A$103,0)),INDEX(Regras!$E$4:$E$103,MATCH($D15,Regras!$A$4:$A$103,0)),IF($F15&gt;=INDEX(Regras!$D$4:$D$103,MATCH($D15,Regras!$A$4:$A$103,0)),INDEX(Regras!$F$4:$F$103,MATCH($D15,Regras!$A$4:$A$103,0)),0)),""))</f>
        <v/>
      </c>
      <c r="U15" s="27">
        <f>IF($AG15&lt;&gt;"Pronta","",IFERROR(IF($G15="",0,IF($G15&lt;=$E15*(1-INDEX(Regras!$G$4:$G$103,MATCH($D15,Regras!$A$4:$A$103,0))),INDEX(Regras!$H$4:$H$103,MATCH($D15,Regras!$A$4:$A$103,0)),IF($G15&gt;=$E15*(1+INDEX(Regras!$G$4:$G$103,MATCH($D15,Regras!$A$4:$A$103,0))),INDEX(Regras!$I$4:$I$103,MATCH($D15,Regras!$A$4:$A$103,0)),0))),""))</f>
        <v/>
      </c>
      <c r="V15" s="27">
        <f>IF($AG15&lt;&gt;"Pronta","",IFERROR(IF($H15/$S15&lt;=INDEX(Regras!$J$4:$J$103,MATCH($D15,Regras!$A$4:$A$103,0)),INDEX(Regras!$L$4:$L$103,MATCH($D15,Regras!$A$4:$A$103,0)),IF($H15/$S15&gt;=INDEX(Regras!$K$4:$K$103,MATCH($D15,Regras!$A$4:$A$103,0)),INDEX(Regras!$M$4:$M$103,MATCH($D15,Regras!$A$4:$A$103,0)),0)),""))</f>
        <v/>
      </c>
      <c r="W15" s="27">
        <f>IF($AG15&lt;&gt;"Pronta","",SUM($T15:$V15))</f>
        <v/>
      </c>
      <c r="X15" s="27">
        <f>IF($AG15&lt;&gt;"Pronta","",IFERROR(MAX(-INDEX(Regras!$N$4:$N$103,MATCH($D15,Regras!$A$4:$A$103,0)),MIN(INDEX(Regras!$N$4:$N$103,MATCH($D15,Regras!$A$4:$A$103,0)),$W15)),""))</f>
        <v/>
      </c>
      <c r="Y15" s="19">
        <f>IF($AG15&lt;&gt;"Pronta","",IFERROR(ROUND($E15*(1+$X15),2),""))</f>
        <v/>
      </c>
      <c r="Z15" s="29">
        <f>IF(OR($AG15&lt;&gt;"Pronta",$Q15="",$R15=""),"",IFERROR(ROUND(MIN($R15,MAX($Q15,$Y15)),2),""))</f>
        <v/>
      </c>
      <c r="AA15" s="27">
        <f>IF(OR($E15="",$Z15=""),"",IFERROR($Z15/$E15-1,""))</f>
        <v/>
      </c>
      <c r="AB15" s="26">
        <f>IF($Z15="","",IF($Y15&lt;$Q15,"Piso",IF($Y15&gt;$R15,"Teto","Nenhuma")))</f>
        <v/>
      </c>
      <c r="AC15" s="21">
        <f>IF($A15="","",IF($AG15&lt;&gt;"Pronta","Aguardando dados válidos",_xlfn.TEXTJOIN(" | ",TRUE,IF($T15&gt;0,"Demanda: aumento",IF($T15&lt;0,"Demanda: redução","")),IF($U15&gt;0,"Concorrência: aumento",IF($U15&lt;0,"Concorrência: redução","")),IF($V15&gt;0,"Estoque: aumento",IF($V15&lt;0,"Estoque: redução","")),IF(ABS($W15-$X15)&gt;0.0000001,"Limite da rodada aplicado",""),IF($AB15="Piso","Piso vigente aplicado",IF($AB15="Teto","Teto aplicado","")),IF(AND($T15=0,$U15=0,$V15=0),"Sem gatilho de reajuste",""))))</f>
        <v/>
      </c>
      <c r="AD15" s="21">
        <f>IF(OR($A15="",$AG15&lt;&gt;"Pronta"),"",_xlfn.TEXTJOIN(" | ",TRUE,IF($E15&lt;$Q15,"Preço atual abaixo do piso",""),IF($E15&gt;$R15,"Preço atual acima do teto",""),IF(AND($N15&gt;0,$E15&gt;0,1-$N15/$E15&lt;$O15),"Margem estimada do preço atual abaixo do mínimo",""),IF($G15="","Preço concorrente não informado",""),IF($AB15="Piso","Recomendação travada no piso",""),IF($AB15="Teto","Recomendação travada no teto","")))</f>
        <v/>
      </c>
      <c r="AE15" s="19">
        <f>IF($AG15&lt;&gt;"Pronta","",IF($I15="Aprovar recomendação",$Z15,IF($I15="Manter preço atual",$E15,IF($I15="Definir manualmente",$J15,""))))</f>
        <v/>
      </c>
      <c r="AF15" s="21">
        <f>IF($A15="","",IF($AG15&lt;&gt;"Pronta","Aguardando correção",IF(OR($I15="",$I15="Pendente"),"Decisão pendente",IF(AND($I15="Definir manualmente",OR($J15="",$J15&lt;=0)),"Informe o preço manual",IF(OR($AE15&lt;$Q15,$AE15&gt;$R15),"Preço final fora do piso/teto","OK")))))</f>
        <v/>
      </c>
      <c r="AG15" s="26">
        <f>IF(COUNTA($A15:$K15)=0,"",IF(OR($A15="",$B15="",$C15="",$D15="",$E15="",$F15="",$H15=""),"Incompleta",IF(OR(COUNTIF($A$5:$A$204,$A15)&gt;1,NOT(ISNUMBER($B15)),COUNTIF(Produtos!$A$4:$A$103,$C15)&lt;&gt;1,IFERROR(INDEX(Produtos!$K$4:$K$103,MATCH($C15,Produtos!$A$4:$A$103,0))&lt;&gt;"Ativo",TRUE),IFERROR(INDEX(Produtos!$L$4:$L$103,MATCH($C15,Produtos!$A$4:$A$103,0))&lt;&gt;"OK",TRUE),COUNTIF(Regras!$A$4:$A$103,$D15)&lt;&gt;1,IFERROR(INDEX(Regras!$O$4:$O$103,MATCH($D15,Regras!$A$4:$A$103,0))&lt;&gt;"Sim",TRUE),IFERROR(INDEX(Regras!$P$4:$P$103,MATCH($D15,Regras!$A$4:$A$103,0))&lt;&gt;"OK",TRUE),NOT(ISNUMBER($E15)),$E15&lt;=0,NOT(ISNUMBER($F15)),$F15&lt;0,$F15&gt;5,NOT(ISNUMBER($H15)),$H15&lt;0,$H15&lt;&gt;INT($H15),AND($G15&lt;&gt;"",OR(NOT(ISNUMBER($G15)),$G15&lt;=0))),"Revisar","Pronta")))</f>
        <v/>
      </c>
    </row>
    <row r="16">
      <c r="A16" s="16" t="n"/>
      <c r="B16" s="24" t="n"/>
      <c r="C16" s="16" t="n"/>
      <c r="D16" s="16" t="n"/>
      <c r="E16" s="17" t="n"/>
      <c r="F16" s="18" t="n"/>
      <c r="G16" s="17" t="n"/>
      <c r="H16" s="20" t="n"/>
      <c r="I16" s="16" t="n"/>
      <c r="J16" s="17" t="n"/>
      <c r="K16" s="25" t="n"/>
      <c r="L16" s="26">
        <f>IF($C16="","",IFERROR(INDEX(Produtos!$B$4:$B$103,MATCH($C16,Produtos!$A$4:$A$103,0)),""))</f>
        <v/>
      </c>
      <c r="M16" s="26">
        <f>IF($C16="","",IFERROR(INDEX(Produtos!$C$4:$C$103,MATCH($C16,Produtos!$A$4:$A$103,0)),""))</f>
        <v/>
      </c>
      <c r="N16" s="19">
        <f>IF($C16="","",IFERROR(INDEX(Produtos!$D$4:$D$103,MATCH($C16,Produtos!$A$4:$A$103,0)),""))</f>
        <v/>
      </c>
      <c r="O16" s="27">
        <f>IF($C16="","",IFERROR(INDEX(Produtos!$E$4:$E$103,MATCH($C16,Produtos!$A$4:$A$103,0)),""))</f>
        <v/>
      </c>
      <c r="P16" s="19">
        <f>IF($C16="","",IFERROR(INDEX(Produtos!$G$4:$G$103,MATCH($C16,Produtos!$A$4:$A$103,0)),""))</f>
        <v/>
      </c>
      <c r="Q16" s="19">
        <f>IF($C16="","",IFERROR(INDEX(Produtos!$H$4:$H$103,MATCH($C16,Produtos!$A$4:$A$103,0)),""))</f>
        <v/>
      </c>
      <c r="R16" s="19">
        <f>IF($C16="","",IFERROR(INDEX(Produtos!$I$4:$I$103,MATCH($C16,Produtos!$A$4:$A$103,0)),""))</f>
        <v/>
      </c>
      <c r="S16" s="28">
        <f>IF($C16="","",IFERROR(INDEX(Produtos!$J$4:$J$103,MATCH($C16,Produtos!$A$4:$A$103,0)),""))</f>
        <v/>
      </c>
      <c r="T16" s="27">
        <f>IF($AG16&lt;&gt;"Pronta","",IFERROR(IF($F16&lt;=INDEX(Regras!$C$4:$C$103,MATCH($D16,Regras!$A$4:$A$103,0)),INDEX(Regras!$E$4:$E$103,MATCH($D16,Regras!$A$4:$A$103,0)),IF($F16&gt;=INDEX(Regras!$D$4:$D$103,MATCH($D16,Regras!$A$4:$A$103,0)),INDEX(Regras!$F$4:$F$103,MATCH($D16,Regras!$A$4:$A$103,0)),0)),""))</f>
        <v/>
      </c>
      <c r="U16" s="27">
        <f>IF($AG16&lt;&gt;"Pronta","",IFERROR(IF($G16="",0,IF($G16&lt;=$E16*(1-INDEX(Regras!$G$4:$G$103,MATCH($D16,Regras!$A$4:$A$103,0))),INDEX(Regras!$H$4:$H$103,MATCH($D16,Regras!$A$4:$A$103,0)),IF($G16&gt;=$E16*(1+INDEX(Regras!$G$4:$G$103,MATCH($D16,Regras!$A$4:$A$103,0))),INDEX(Regras!$I$4:$I$103,MATCH($D16,Regras!$A$4:$A$103,0)),0))),""))</f>
        <v/>
      </c>
      <c r="V16" s="27">
        <f>IF($AG16&lt;&gt;"Pronta","",IFERROR(IF($H16/$S16&lt;=INDEX(Regras!$J$4:$J$103,MATCH($D16,Regras!$A$4:$A$103,0)),INDEX(Regras!$L$4:$L$103,MATCH($D16,Regras!$A$4:$A$103,0)),IF($H16/$S16&gt;=INDEX(Regras!$K$4:$K$103,MATCH($D16,Regras!$A$4:$A$103,0)),INDEX(Regras!$M$4:$M$103,MATCH($D16,Regras!$A$4:$A$103,0)),0)),""))</f>
        <v/>
      </c>
      <c r="W16" s="27">
        <f>IF($AG16&lt;&gt;"Pronta","",SUM($T16:$V16))</f>
        <v/>
      </c>
      <c r="X16" s="27">
        <f>IF($AG16&lt;&gt;"Pronta","",IFERROR(MAX(-INDEX(Regras!$N$4:$N$103,MATCH($D16,Regras!$A$4:$A$103,0)),MIN(INDEX(Regras!$N$4:$N$103,MATCH($D16,Regras!$A$4:$A$103,0)),$W16)),""))</f>
        <v/>
      </c>
      <c r="Y16" s="19">
        <f>IF($AG16&lt;&gt;"Pronta","",IFERROR(ROUND($E16*(1+$X16),2),""))</f>
        <v/>
      </c>
      <c r="Z16" s="29">
        <f>IF(OR($AG16&lt;&gt;"Pronta",$Q16="",$R16=""),"",IFERROR(ROUND(MIN($R16,MAX($Q16,$Y16)),2),""))</f>
        <v/>
      </c>
      <c r="AA16" s="27">
        <f>IF(OR($E16="",$Z16=""),"",IFERROR($Z16/$E16-1,""))</f>
        <v/>
      </c>
      <c r="AB16" s="26">
        <f>IF($Z16="","",IF($Y16&lt;$Q16,"Piso",IF($Y16&gt;$R16,"Teto","Nenhuma")))</f>
        <v/>
      </c>
      <c r="AC16" s="21">
        <f>IF($A16="","",IF($AG16&lt;&gt;"Pronta","Aguardando dados válidos",_xlfn.TEXTJOIN(" | ",TRUE,IF($T16&gt;0,"Demanda: aumento",IF($T16&lt;0,"Demanda: redução","")),IF($U16&gt;0,"Concorrência: aumento",IF($U16&lt;0,"Concorrência: redução","")),IF($V16&gt;0,"Estoque: aumento",IF($V16&lt;0,"Estoque: redução","")),IF(ABS($W16-$X16)&gt;0.0000001,"Limite da rodada aplicado",""),IF($AB16="Piso","Piso vigente aplicado",IF($AB16="Teto","Teto aplicado","")),IF(AND($T16=0,$U16=0,$V16=0),"Sem gatilho de reajuste",""))))</f>
        <v/>
      </c>
      <c r="AD16" s="21">
        <f>IF(OR($A16="",$AG16&lt;&gt;"Pronta"),"",_xlfn.TEXTJOIN(" | ",TRUE,IF($E16&lt;$Q16,"Preço atual abaixo do piso",""),IF($E16&gt;$R16,"Preço atual acima do teto",""),IF(AND($N16&gt;0,$E16&gt;0,1-$N16/$E16&lt;$O16),"Margem estimada do preço atual abaixo do mínimo",""),IF($G16="","Preço concorrente não informado",""),IF($AB16="Piso","Recomendação travada no piso",""),IF($AB16="Teto","Recomendação travada no teto","")))</f>
        <v/>
      </c>
      <c r="AE16" s="19">
        <f>IF($AG16&lt;&gt;"Pronta","",IF($I16="Aprovar recomendação",$Z16,IF($I16="Manter preço atual",$E16,IF($I16="Definir manualmente",$J16,""))))</f>
        <v/>
      </c>
      <c r="AF16" s="21">
        <f>IF($A16="","",IF($AG16&lt;&gt;"Pronta","Aguardando correção",IF(OR($I16="",$I16="Pendente"),"Decisão pendente",IF(AND($I16="Definir manualmente",OR($J16="",$J16&lt;=0)),"Informe o preço manual",IF(OR($AE16&lt;$Q16,$AE16&gt;$R16),"Preço final fora do piso/teto","OK")))))</f>
        <v/>
      </c>
      <c r="AG16" s="26">
        <f>IF(COUNTA($A16:$K16)=0,"",IF(OR($A16="",$B16="",$C16="",$D16="",$E16="",$F16="",$H16=""),"Incompleta",IF(OR(COUNTIF($A$5:$A$204,$A16)&gt;1,NOT(ISNUMBER($B16)),COUNTIF(Produtos!$A$4:$A$103,$C16)&lt;&gt;1,IFERROR(INDEX(Produtos!$K$4:$K$103,MATCH($C16,Produtos!$A$4:$A$103,0))&lt;&gt;"Ativo",TRUE),IFERROR(INDEX(Produtos!$L$4:$L$103,MATCH($C16,Produtos!$A$4:$A$103,0))&lt;&gt;"OK",TRUE),COUNTIF(Regras!$A$4:$A$103,$D16)&lt;&gt;1,IFERROR(INDEX(Regras!$O$4:$O$103,MATCH($D16,Regras!$A$4:$A$103,0))&lt;&gt;"Sim",TRUE),IFERROR(INDEX(Regras!$P$4:$P$103,MATCH($D16,Regras!$A$4:$A$103,0))&lt;&gt;"OK",TRUE),NOT(ISNUMBER($E16)),$E16&lt;=0,NOT(ISNUMBER($F16)),$F16&lt;0,$F16&gt;5,NOT(ISNUMBER($H16)),$H16&lt;0,$H16&lt;&gt;INT($H16),AND($G16&lt;&gt;"",OR(NOT(ISNUMBER($G16)),$G16&lt;=0))),"Revisar","Pronta")))</f>
        <v/>
      </c>
    </row>
    <row r="17">
      <c r="A17" s="16" t="n"/>
      <c r="B17" s="24" t="n"/>
      <c r="C17" s="16" t="n"/>
      <c r="D17" s="16" t="n"/>
      <c r="E17" s="17" t="n"/>
      <c r="F17" s="18" t="n"/>
      <c r="G17" s="17" t="n"/>
      <c r="H17" s="20" t="n"/>
      <c r="I17" s="16" t="n"/>
      <c r="J17" s="17" t="n"/>
      <c r="K17" s="25" t="n"/>
      <c r="L17" s="26">
        <f>IF($C17="","",IFERROR(INDEX(Produtos!$B$4:$B$103,MATCH($C17,Produtos!$A$4:$A$103,0)),""))</f>
        <v/>
      </c>
      <c r="M17" s="26">
        <f>IF($C17="","",IFERROR(INDEX(Produtos!$C$4:$C$103,MATCH($C17,Produtos!$A$4:$A$103,0)),""))</f>
        <v/>
      </c>
      <c r="N17" s="19">
        <f>IF($C17="","",IFERROR(INDEX(Produtos!$D$4:$D$103,MATCH($C17,Produtos!$A$4:$A$103,0)),""))</f>
        <v/>
      </c>
      <c r="O17" s="27">
        <f>IF($C17="","",IFERROR(INDEX(Produtos!$E$4:$E$103,MATCH($C17,Produtos!$A$4:$A$103,0)),""))</f>
        <v/>
      </c>
      <c r="P17" s="19">
        <f>IF($C17="","",IFERROR(INDEX(Produtos!$G$4:$G$103,MATCH($C17,Produtos!$A$4:$A$103,0)),""))</f>
        <v/>
      </c>
      <c r="Q17" s="19">
        <f>IF($C17="","",IFERROR(INDEX(Produtos!$H$4:$H$103,MATCH($C17,Produtos!$A$4:$A$103,0)),""))</f>
        <v/>
      </c>
      <c r="R17" s="19">
        <f>IF($C17="","",IFERROR(INDEX(Produtos!$I$4:$I$103,MATCH($C17,Produtos!$A$4:$A$103,0)),""))</f>
        <v/>
      </c>
      <c r="S17" s="28">
        <f>IF($C17="","",IFERROR(INDEX(Produtos!$J$4:$J$103,MATCH($C17,Produtos!$A$4:$A$103,0)),""))</f>
        <v/>
      </c>
      <c r="T17" s="27">
        <f>IF($AG17&lt;&gt;"Pronta","",IFERROR(IF($F17&lt;=INDEX(Regras!$C$4:$C$103,MATCH($D17,Regras!$A$4:$A$103,0)),INDEX(Regras!$E$4:$E$103,MATCH($D17,Regras!$A$4:$A$103,0)),IF($F17&gt;=INDEX(Regras!$D$4:$D$103,MATCH($D17,Regras!$A$4:$A$103,0)),INDEX(Regras!$F$4:$F$103,MATCH($D17,Regras!$A$4:$A$103,0)),0)),""))</f>
        <v/>
      </c>
      <c r="U17" s="27">
        <f>IF($AG17&lt;&gt;"Pronta","",IFERROR(IF($G17="",0,IF($G17&lt;=$E17*(1-INDEX(Regras!$G$4:$G$103,MATCH($D17,Regras!$A$4:$A$103,0))),INDEX(Regras!$H$4:$H$103,MATCH($D17,Regras!$A$4:$A$103,0)),IF($G17&gt;=$E17*(1+INDEX(Regras!$G$4:$G$103,MATCH($D17,Regras!$A$4:$A$103,0))),INDEX(Regras!$I$4:$I$103,MATCH($D17,Regras!$A$4:$A$103,0)),0))),""))</f>
        <v/>
      </c>
      <c r="V17" s="27">
        <f>IF($AG17&lt;&gt;"Pronta","",IFERROR(IF($H17/$S17&lt;=INDEX(Regras!$J$4:$J$103,MATCH($D17,Regras!$A$4:$A$103,0)),INDEX(Regras!$L$4:$L$103,MATCH($D17,Regras!$A$4:$A$103,0)),IF($H17/$S17&gt;=INDEX(Regras!$K$4:$K$103,MATCH($D17,Regras!$A$4:$A$103,0)),INDEX(Regras!$M$4:$M$103,MATCH($D17,Regras!$A$4:$A$103,0)),0)),""))</f>
        <v/>
      </c>
      <c r="W17" s="27">
        <f>IF($AG17&lt;&gt;"Pronta","",SUM($T17:$V17))</f>
        <v/>
      </c>
      <c r="X17" s="27">
        <f>IF($AG17&lt;&gt;"Pronta","",IFERROR(MAX(-INDEX(Regras!$N$4:$N$103,MATCH($D17,Regras!$A$4:$A$103,0)),MIN(INDEX(Regras!$N$4:$N$103,MATCH($D17,Regras!$A$4:$A$103,0)),$W17)),""))</f>
        <v/>
      </c>
      <c r="Y17" s="19">
        <f>IF($AG17&lt;&gt;"Pronta","",IFERROR(ROUND($E17*(1+$X17),2),""))</f>
        <v/>
      </c>
      <c r="Z17" s="29">
        <f>IF(OR($AG17&lt;&gt;"Pronta",$Q17="",$R17=""),"",IFERROR(ROUND(MIN($R17,MAX($Q17,$Y17)),2),""))</f>
        <v/>
      </c>
      <c r="AA17" s="27">
        <f>IF(OR($E17="",$Z17=""),"",IFERROR($Z17/$E17-1,""))</f>
        <v/>
      </c>
      <c r="AB17" s="26">
        <f>IF($Z17="","",IF($Y17&lt;$Q17,"Piso",IF($Y17&gt;$R17,"Teto","Nenhuma")))</f>
        <v/>
      </c>
      <c r="AC17" s="21">
        <f>IF($A17="","",IF($AG17&lt;&gt;"Pronta","Aguardando dados válidos",_xlfn.TEXTJOIN(" | ",TRUE,IF($T17&gt;0,"Demanda: aumento",IF($T17&lt;0,"Demanda: redução","")),IF($U17&gt;0,"Concorrência: aumento",IF($U17&lt;0,"Concorrência: redução","")),IF($V17&gt;0,"Estoque: aumento",IF($V17&lt;0,"Estoque: redução","")),IF(ABS($W17-$X17)&gt;0.0000001,"Limite da rodada aplicado",""),IF($AB17="Piso","Piso vigente aplicado",IF($AB17="Teto","Teto aplicado","")),IF(AND($T17=0,$U17=0,$V17=0),"Sem gatilho de reajuste",""))))</f>
        <v/>
      </c>
      <c r="AD17" s="21">
        <f>IF(OR($A17="",$AG17&lt;&gt;"Pronta"),"",_xlfn.TEXTJOIN(" | ",TRUE,IF($E17&lt;$Q17,"Preço atual abaixo do piso",""),IF($E17&gt;$R17,"Preço atual acima do teto",""),IF(AND($N17&gt;0,$E17&gt;0,1-$N17/$E17&lt;$O17),"Margem estimada do preço atual abaixo do mínimo",""),IF($G17="","Preço concorrente não informado",""),IF($AB17="Piso","Recomendação travada no piso",""),IF($AB17="Teto","Recomendação travada no teto","")))</f>
        <v/>
      </c>
      <c r="AE17" s="19">
        <f>IF($AG17&lt;&gt;"Pronta","",IF($I17="Aprovar recomendação",$Z17,IF($I17="Manter preço atual",$E17,IF($I17="Definir manualmente",$J17,""))))</f>
        <v/>
      </c>
      <c r="AF17" s="21">
        <f>IF($A17="","",IF($AG17&lt;&gt;"Pronta","Aguardando correção",IF(OR($I17="",$I17="Pendente"),"Decisão pendente",IF(AND($I17="Definir manualmente",OR($J17="",$J17&lt;=0)),"Informe o preço manual",IF(OR($AE17&lt;$Q17,$AE17&gt;$R17),"Preço final fora do piso/teto","OK")))))</f>
        <v/>
      </c>
      <c r="AG17" s="26">
        <f>IF(COUNTA($A17:$K17)=0,"",IF(OR($A17="",$B17="",$C17="",$D17="",$E17="",$F17="",$H17=""),"Incompleta",IF(OR(COUNTIF($A$5:$A$204,$A17)&gt;1,NOT(ISNUMBER($B17)),COUNTIF(Produtos!$A$4:$A$103,$C17)&lt;&gt;1,IFERROR(INDEX(Produtos!$K$4:$K$103,MATCH($C17,Produtos!$A$4:$A$103,0))&lt;&gt;"Ativo",TRUE),IFERROR(INDEX(Produtos!$L$4:$L$103,MATCH($C17,Produtos!$A$4:$A$103,0))&lt;&gt;"OK",TRUE),COUNTIF(Regras!$A$4:$A$103,$D17)&lt;&gt;1,IFERROR(INDEX(Regras!$O$4:$O$103,MATCH($D17,Regras!$A$4:$A$103,0))&lt;&gt;"Sim",TRUE),IFERROR(INDEX(Regras!$P$4:$P$103,MATCH($D17,Regras!$A$4:$A$103,0))&lt;&gt;"OK",TRUE),NOT(ISNUMBER($E17)),$E17&lt;=0,NOT(ISNUMBER($F17)),$F17&lt;0,$F17&gt;5,NOT(ISNUMBER($H17)),$H17&lt;0,$H17&lt;&gt;INT($H17),AND($G17&lt;&gt;"",OR(NOT(ISNUMBER($G17)),$G17&lt;=0))),"Revisar","Pronta")))</f>
        <v/>
      </c>
    </row>
    <row r="18">
      <c r="A18" s="16" t="n"/>
      <c r="B18" s="24" t="n"/>
      <c r="C18" s="16" t="n"/>
      <c r="D18" s="16" t="n"/>
      <c r="E18" s="17" t="n"/>
      <c r="F18" s="18" t="n"/>
      <c r="G18" s="17" t="n"/>
      <c r="H18" s="20" t="n"/>
      <c r="I18" s="16" t="n"/>
      <c r="J18" s="17" t="n"/>
      <c r="K18" s="25" t="n"/>
      <c r="L18" s="26">
        <f>IF($C18="","",IFERROR(INDEX(Produtos!$B$4:$B$103,MATCH($C18,Produtos!$A$4:$A$103,0)),""))</f>
        <v/>
      </c>
      <c r="M18" s="26">
        <f>IF($C18="","",IFERROR(INDEX(Produtos!$C$4:$C$103,MATCH($C18,Produtos!$A$4:$A$103,0)),""))</f>
        <v/>
      </c>
      <c r="N18" s="19">
        <f>IF($C18="","",IFERROR(INDEX(Produtos!$D$4:$D$103,MATCH($C18,Produtos!$A$4:$A$103,0)),""))</f>
        <v/>
      </c>
      <c r="O18" s="27">
        <f>IF($C18="","",IFERROR(INDEX(Produtos!$E$4:$E$103,MATCH($C18,Produtos!$A$4:$A$103,0)),""))</f>
        <v/>
      </c>
      <c r="P18" s="19">
        <f>IF($C18="","",IFERROR(INDEX(Produtos!$G$4:$G$103,MATCH($C18,Produtos!$A$4:$A$103,0)),""))</f>
        <v/>
      </c>
      <c r="Q18" s="19">
        <f>IF($C18="","",IFERROR(INDEX(Produtos!$H$4:$H$103,MATCH($C18,Produtos!$A$4:$A$103,0)),""))</f>
        <v/>
      </c>
      <c r="R18" s="19">
        <f>IF($C18="","",IFERROR(INDEX(Produtos!$I$4:$I$103,MATCH($C18,Produtos!$A$4:$A$103,0)),""))</f>
        <v/>
      </c>
      <c r="S18" s="28">
        <f>IF($C18="","",IFERROR(INDEX(Produtos!$J$4:$J$103,MATCH($C18,Produtos!$A$4:$A$103,0)),""))</f>
        <v/>
      </c>
      <c r="T18" s="27">
        <f>IF($AG18&lt;&gt;"Pronta","",IFERROR(IF($F18&lt;=INDEX(Regras!$C$4:$C$103,MATCH($D18,Regras!$A$4:$A$103,0)),INDEX(Regras!$E$4:$E$103,MATCH($D18,Regras!$A$4:$A$103,0)),IF($F18&gt;=INDEX(Regras!$D$4:$D$103,MATCH($D18,Regras!$A$4:$A$103,0)),INDEX(Regras!$F$4:$F$103,MATCH($D18,Regras!$A$4:$A$103,0)),0)),""))</f>
        <v/>
      </c>
      <c r="U18" s="27">
        <f>IF($AG18&lt;&gt;"Pronta","",IFERROR(IF($G18="",0,IF($G18&lt;=$E18*(1-INDEX(Regras!$G$4:$G$103,MATCH($D18,Regras!$A$4:$A$103,0))),INDEX(Regras!$H$4:$H$103,MATCH($D18,Regras!$A$4:$A$103,0)),IF($G18&gt;=$E18*(1+INDEX(Regras!$G$4:$G$103,MATCH($D18,Regras!$A$4:$A$103,0))),INDEX(Regras!$I$4:$I$103,MATCH($D18,Regras!$A$4:$A$103,0)),0))),""))</f>
        <v/>
      </c>
      <c r="V18" s="27">
        <f>IF($AG18&lt;&gt;"Pronta","",IFERROR(IF($H18/$S18&lt;=INDEX(Regras!$J$4:$J$103,MATCH($D18,Regras!$A$4:$A$103,0)),INDEX(Regras!$L$4:$L$103,MATCH($D18,Regras!$A$4:$A$103,0)),IF($H18/$S18&gt;=INDEX(Regras!$K$4:$K$103,MATCH($D18,Regras!$A$4:$A$103,0)),INDEX(Regras!$M$4:$M$103,MATCH($D18,Regras!$A$4:$A$103,0)),0)),""))</f>
        <v/>
      </c>
      <c r="W18" s="27">
        <f>IF($AG18&lt;&gt;"Pronta","",SUM($T18:$V18))</f>
        <v/>
      </c>
      <c r="X18" s="27">
        <f>IF($AG18&lt;&gt;"Pronta","",IFERROR(MAX(-INDEX(Regras!$N$4:$N$103,MATCH($D18,Regras!$A$4:$A$103,0)),MIN(INDEX(Regras!$N$4:$N$103,MATCH($D18,Regras!$A$4:$A$103,0)),$W18)),""))</f>
        <v/>
      </c>
      <c r="Y18" s="19">
        <f>IF($AG18&lt;&gt;"Pronta","",IFERROR(ROUND($E18*(1+$X18),2),""))</f>
        <v/>
      </c>
      <c r="Z18" s="29">
        <f>IF(OR($AG18&lt;&gt;"Pronta",$Q18="",$R18=""),"",IFERROR(ROUND(MIN($R18,MAX($Q18,$Y18)),2),""))</f>
        <v/>
      </c>
      <c r="AA18" s="27">
        <f>IF(OR($E18="",$Z18=""),"",IFERROR($Z18/$E18-1,""))</f>
        <v/>
      </c>
      <c r="AB18" s="26">
        <f>IF($Z18="","",IF($Y18&lt;$Q18,"Piso",IF($Y18&gt;$R18,"Teto","Nenhuma")))</f>
        <v/>
      </c>
      <c r="AC18" s="21">
        <f>IF($A18="","",IF($AG18&lt;&gt;"Pronta","Aguardando dados válidos",_xlfn.TEXTJOIN(" | ",TRUE,IF($T18&gt;0,"Demanda: aumento",IF($T18&lt;0,"Demanda: redução","")),IF($U18&gt;0,"Concorrência: aumento",IF($U18&lt;0,"Concorrência: redução","")),IF($V18&gt;0,"Estoque: aumento",IF($V18&lt;0,"Estoque: redução","")),IF(ABS($W18-$X18)&gt;0.0000001,"Limite da rodada aplicado",""),IF($AB18="Piso","Piso vigente aplicado",IF($AB18="Teto","Teto aplicado","")),IF(AND($T18=0,$U18=0,$V18=0),"Sem gatilho de reajuste",""))))</f>
        <v/>
      </c>
      <c r="AD18" s="21">
        <f>IF(OR($A18="",$AG18&lt;&gt;"Pronta"),"",_xlfn.TEXTJOIN(" | ",TRUE,IF($E18&lt;$Q18,"Preço atual abaixo do piso",""),IF($E18&gt;$R18,"Preço atual acima do teto",""),IF(AND($N18&gt;0,$E18&gt;0,1-$N18/$E18&lt;$O18),"Margem estimada do preço atual abaixo do mínimo",""),IF($G18="","Preço concorrente não informado",""),IF($AB18="Piso","Recomendação travada no piso",""),IF($AB18="Teto","Recomendação travada no teto","")))</f>
        <v/>
      </c>
      <c r="AE18" s="19">
        <f>IF($AG18&lt;&gt;"Pronta","",IF($I18="Aprovar recomendação",$Z18,IF($I18="Manter preço atual",$E18,IF($I18="Definir manualmente",$J18,""))))</f>
        <v/>
      </c>
      <c r="AF18" s="21">
        <f>IF($A18="","",IF($AG18&lt;&gt;"Pronta","Aguardando correção",IF(OR($I18="",$I18="Pendente"),"Decisão pendente",IF(AND($I18="Definir manualmente",OR($J18="",$J18&lt;=0)),"Informe o preço manual",IF(OR($AE18&lt;$Q18,$AE18&gt;$R18),"Preço final fora do piso/teto","OK")))))</f>
        <v/>
      </c>
      <c r="AG18" s="26">
        <f>IF(COUNTA($A18:$K18)=0,"",IF(OR($A18="",$B18="",$C18="",$D18="",$E18="",$F18="",$H18=""),"Incompleta",IF(OR(COUNTIF($A$5:$A$204,$A18)&gt;1,NOT(ISNUMBER($B18)),COUNTIF(Produtos!$A$4:$A$103,$C18)&lt;&gt;1,IFERROR(INDEX(Produtos!$K$4:$K$103,MATCH($C18,Produtos!$A$4:$A$103,0))&lt;&gt;"Ativo",TRUE),IFERROR(INDEX(Produtos!$L$4:$L$103,MATCH($C18,Produtos!$A$4:$A$103,0))&lt;&gt;"OK",TRUE),COUNTIF(Regras!$A$4:$A$103,$D18)&lt;&gt;1,IFERROR(INDEX(Regras!$O$4:$O$103,MATCH($D18,Regras!$A$4:$A$103,0))&lt;&gt;"Sim",TRUE),IFERROR(INDEX(Regras!$P$4:$P$103,MATCH($D18,Regras!$A$4:$A$103,0))&lt;&gt;"OK",TRUE),NOT(ISNUMBER($E18)),$E18&lt;=0,NOT(ISNUMBER($F18)),$F18&lt;0,$F18&gt;5,NOT(ISNUMBER($H18)),$H18&lt;0,$H18&lt;&gt;INT($H18),AND($G18&lt;&gt;"",OR(NOT(ISNUMBER($G18)),$G18&lt;=0))),"Revisar","Pronta")))</f>
        <v/>
      </c>
    </row>
    <row r="19">
      <c r="A19" s="16" t="n"/>
      <c r="B19" s="24" t="n"/>
      <c r="C19" s="16" t="n"/>
      <c r="D19" s="16" t="n"/>
      <c r="E19" s="17" t="n"/>
      <c r="F19" s="18" t="n"/>
      <c r="G19" s="17" t="n"/>
      <c r="H19" s="20" t="n"/>
      <c r="I19" s="16" t="n"/>
      <c r="J19" s="17" t="n"/>
      <c r="K19" s="25" t="n"/>
      <c r="L19" s="26">
        <f>IF($C19="","",IFERROR(INDEX(Produtos!$B$4:$B$103,MATCH($C19,Produtos!$A$4:$A$103,0)),""))</f>
        <v/>
      </c>
      <c r="M19" s="26">
        <f>IF($C19="","",IFERROR(INDEX(Produtos!$C$4:$C$103,MATCH($C19,Produtos!$A$4:$A$103,0)),""))</f>
        <v/>
      </c>
      <c r="N19" s="19">
        <f>IF($C19="","",IFERROR(INDEX(Produtos!$D$4:$D$103,MATCH($C19,Produtos!$A$4:$A$103,0)),""))</f>
        <v/>
      </c>
      <c r="O19" s="27">
        <f>IF($C19="","",IFERROR(INDEX(Produtos!$E$4:$E$103,MATCH($C19,Produtos!$A$4:$A$103,0)),""))</f>
        <v/>
      </c>
      <c r="P19" s="19">
        <f>IF($C19="","",IFERROR(INDEX(Produtos!$G$4:$G$103,MATCH($C19,Produtos!$A$4:$A$103,0)),""))</f>
        <v/>
      </c>
      <c r="Q19" s="19">
        <f>IF($C19="","",IFERROR(INDEX(Produtos!$H$4:$H$103,MATCH($C19,Produtos!$A$4:$A$103,0)),""))</f>
        <v/>
      </c>
      <c r="R19" s="19">
        <f>IF($C19="","",IFERROR(INDEX(Produtos!$I$4:$I$103,MATCH($C19,Produtos!$A$4:$A$103,0)),""))</f>
        <v/>
      </c>
      <c r="S19" s="28">
        <f>IF($C19="","",IFERROR(INDEX(Produtos!$J$4:$J$103,MATCH($C19,Produtos!$A$4:$A$103,0)),""))</f>
        <v/>
      </c>
      <c r="T19" s="27">
        <f>IF($AG19&lt;&gt;"Pronta","",IFERROR(IF($F19&lt;=INDEX(Regras!$C$4:$C$103,MATCH($D19,Regras!$A$4:$A$103,0)),INDEX(Regras!$E$4:$E$103,MATCH($D19,Regras!$A$4:$A$103,0)),IF($F19&gt;=INDEX(Regras!$D$4:$D$103,MATCH($D19,Regras!$A$4:$A$103,0)),INDEX(Regras!$F$4:$F$103,MATCH($D19,Regras!$A$4:$A$103,0)),0)),""))</f>
        <v/>
      </c>
      <c r="U19" s="27">
        <f>IF($AG19&lt;&gt;"Pronta","",IFERROR(IF($G19="",0,IF($G19&lt;=$E19*(1-INDEX(Regras!$G$4:$G$103,MATCH($D19,Regras!$A$4:$A$103,0))),INDEX(Regras!$H$4:$H$103,MATCH($D19,Regras!$A$4:$A$103,0)),IF($G19&gt;=$E19*(1+INDEX(Regras!$G$4:$G$103,MATCH($D19,Regras!$A$4:$A$103,0))),INDEX(Regras!$I$4:$I$103,MATCH($D19,Regras!$A$4:$A$103,0)),0))),""))</f>
        <v/>
      </c>
      <c r="V19" s="27">
        <f>IF($AG19&lt;&gt;"Pronta","",IFERROR(IF($H19/$S19&lt;=INDEX(Regras!$J$4:$J$103,MATCH($D19,Regras!$A$4:$A$103,0)),INDEX(Regras!$L$4:$L$103,MATCH($D19,Regras!$A$4:$A$103,0)),IF($H19/$S19&gt;=INDEX(Regras!$K$4:$K$103,MATCH($D19,Regras!$A$4:$A$103,0)),INDEX(Regras!$M$4:$M$103,MATCH($D19,Regras!$A$4:$A$103,0)),0)),""))</f>
        <v/>
      </c>
      <c r="W19" s="27">
        <f>IF($AG19&lt;&gt;"Pronta","",SUM($T19:$V19))</f>
        <v/>
      </c>
      <c r="X19" s="27">
        <f>IF($AG19&lt;&gt;"Pronta","",IFERROR(MAX(-INDEX(Regras!$N$4:$N$103,MATCH($D19,Regras!$A$4:$A$103,0)),MIN(INDEX(Regras!$N$4:$N$103,MATCH($D19,Regras!$A$4:$A$103,0)),$W19)),""))</f>
        <v/>
      </c>
      <c r="Y19" s="19">
        <f>IF($AG19&lt;&gt;"Pronta","",IFERROR(ROUND($E19*(1+$X19),2),""))</f>
        <v/>
      </c>
      <c r="Z19" s="29">
        <f>IF(OR($AG19&lt;&gt;"Pronta",$Q19="",$R19=""),"",IFERROR(ROUND(MIN($R19,MAX($Q19,$Y19)),2),""))</f>
        <v/>
      </c>
      <c r="AA19" s="27">
        <f>IF(OR($E19="",$Z19=""),"",IFERROR($Z19/$E19-1,""))</f>
        <v/>
      </c>
      <c r="AB19" s="26">
        <f>IF($Z19="","",IF($Y19&lt;$Q19,"Piso",IF($Y19&gt;$R19,"Teto","Nenhuma")))</f>
        <v/>
      </c>
      <c r="AC19" s="21">
        <f>IF($A19="","",IF($AG19&lt;&gt;"Pronta","Aguardando dados válidos",_xlfn.TEXTJOIN(" | ",TRUE,IF($T19&gt;0,"Demanda: aumento",IF($T19&lt;0,"Demanda: redução","")),IF($U19&gt;0,"Concorrência: aumento",IF($U19&lt;0,"Concorrência: redução","")),IF($V19&gt;0,"Estoque: aumento",IF($V19&lt;0,"Estoque: redução","")),IF(ABS($W19-$X19)&gt;0.0000001,"Limite da rodada aplicado",""),IF($AB19="Piso","Piso vigente aplicado",IF($AB19="Teto","Teto aplicado","")),IF(AND($T19=0,$U19=0,$V19=0),"Sem gatilho de reajuste",""))))</f>
        <v/>
      </c>
      <c r="AD19" s="21">
        <f>IF(OR($A19="",$AG19&lt;&gt;"Pronta"),"",_xlfn.TEXTJOIN(" | ",TRUE,IF($E19&lt;$Q19,"Preço atual abaixo do piso",""),IF($E19&gt;$R19,"Preço atual acima do teto",""),IF(AND($N19&gt;0,$E19&gt;0,1-$N19/$E19&lt;$O19),"Margem estimada do preço atual abaixo do mínimo",""),IF($G19="","Preço concorrente não informado",""),IF($AB19="Piso","Recomendação travada no piso",""),IF($AB19="Teto","Recomendação travada no teto","")))</f>
        <v/>
      </c>
      <c r="AE19" s="19">
        <f>IF($AG19&lt;&gt;"Pronta","",IF($I19="Aprovar recomendação",$Z19,IF($I19="Manter preço atual",$E19,IF($I19="Definir manualmente",$J19,""))))</f>
        <v/>
      </c>
      <c r="AF19" s="21">
        <f>IF($A19="","",IF($AG19&lt;&gt;"Pronta","Aguardando correção",IF(OR($I19="",$I19="Pendente"),"Decisão pendente",IF(AND($I19="Definir manualmente",OR($J19="",$J19&lt;=0)),"Informe o preço manual",IF(OR($AE19&lt;$Q19,$AE19&gt;$R19),"Preço final fora do piso/teto","OK")))))</f>
        <v/>
      </c>
      <c r="AG19" s="26">
        <f>IF(COUNTA($A19:$K19)=0,"",IF(OR($A19="",$B19="",$C19="",$D19="",$E19="",$F19="",$H19=""),"Incompleta",IF(OR(COUNTIF($A$5:$A$204,$A19)&gt;1,NOT(ISNUMBER($B19)),COUNTIF(Produtos!$A$4:$A$103,$C19)&lt;&gt;1,IFERROR(INDEX(Produtos!$K$4:$K$103,MATCH($C19,Produtos!$A$4:$A$103,0))&lt;&gt;"Ativo",TRUE),IFERROR(INDEX(Produtos!$L$4:$L$103,MATCH($C19,Produtos!$A$4:$A$103,0))&lt;&gt;"OK",TRUE),COUNTIF(Regras!$A$4:$A$103,$D19)&lt;&gt;1,IFERROR(INDEX(Regras!$O$4:$O$103,MATCH($D19,Regras!$A$4:$A$103,0))&lt;&gt;"Sim",TRUE),IFERROR(INDEX(Regras!$P$4:$P$103,MATCH($D19,Regras!$A$4:$A$103,0))&lt;&gt;"OK",TRUE),NOT(ISNUMBER($E19)),$E19&lt;=0,NOT(ISNUMBER($F19)),$F19&lt;0,$F19&gt;5,NOT(ISNUMBER($H19)),$H19&lt;0,$H19&lt;&gt;INT($H19),AND($G19&lt;&gt;"",OR(NOT(ISNUMBER($G19)),$G19&lt;=0))),"Revisar","Pronta")))</f>
        <v/>
      </c>
    </row>
    <row r="20">
      <c r="A20" s="16" t="n"/>
      <c r="B20" s="24" t="n"/>
      <c r="C20" s="16" t="n"/>
      <c r="D20" s="16" t="n"/>
      <c r="E20" s="17" t="n"/>
      <c r="F20" s="18" t="n"/>
      <c r="G20" s="17" t="n"/>
      <c r="H20" s="20" t="n"/>
      <c r="I20" s="16" t="n"/>
      <c r="J20" s="17" t="n"/>
      <c r="K20" s="25" t="n"/>
      <c r="L20" s="26">
        <f>IF($C20="","",IFERROR(INDEX(Produtos!$B$4:$B$103,MATCH($C20,Produtos!$A$4:$A$103,0)),""))</f>
        <v/>
      </c>
      <c r="M20" s="26">
        <f>IF($C20="","",IFERROR(INDEX(Produtos!$C$4:$C$103,MATCH($C20,Produtos!$A$4:$A$103,0)),""))</f>
        <v/>
      </c>
      <c r="N20" s="19">
        <f>IF($C20="","",IFERROR(INDEX(Produtos!$D$4:$D$103,MATCH($C20,Produtos!$A$4:$A$103,0)),""))</f>
        <v/>
      </c>
      <c r="O20" s="27">
        <f>IF($C20="","",IFERROR(INDEX(Produtos!$E$4:$E$103,MATCH($C20,Produtos!$A$4:$A$103,0)),""))</f>
        <v/>
      </c>
      <c r="P20" s="19">
        <f>IF($C20="","",IFERROR(INDEX(Produtos!$G$4:$G$103,MATCH($C20,Produtos!$A$4:$A$103,0)),""))</f>
        <v/>
      </c>
      <c r="Q20" s="19">
        <f>IF($C20="","",IFERROR(INDEX(Produtos!$H$4:$H$103,MATCH($C20,Produtos!$A$4:$A$103,0)),""))</f>
        <v/>
      </c>
      <c r="R20" s="19">
        <f>IF($C20="","",IFERROR(INDEX(Produtos!$I$4:$I$103,MATCH($C20,Produtos!$A$4:$A$103,0)),""))</f>
        <v/>
      </c>
      <c r="S20" s="28">
        <f>IF($C20="","",IFERROR(INDEX(Produtos!$J$4:$J$103,MATCH($C20,Produtos!$A$4:$A$103,0)),""))</f>
        <v/>
      </c>
      <c r="T20" s="27">
        <f>IF($AG20&lt;&gt;"Pronta","",IFERROR(IF($F20&lt;=INDEX(Regras!$C$4:$C$103,MATCH($D20,Regras!$A$4:$A$103,0)),INDEX(Regras!$E$4:$E$103,MATCH($D20,Regras!$A$4:$A$103,0)),IF($F20&gt;=INDEX(Regras!$D$4:$D$103,MATCH($D20,Regras!$A$4:$A$103,0)),INDEX(Regras!$F$4:$F$103,MATCH($D20,Regras!$A$4:$A$103,0)),0)),""))</f>
        <v/>
      </c>
      <c r="U20" s="27">
        <f>IF($AG20&lt;&gt;"Pronta","",IFERROR(IF($G20="",0,IF($G20&lt;=$E20*(1-INDEX(Regras!$G$4:$G$103,MATCH($D20,Regras!$A$4:$A$103,0))),INDEX(Regras!$H$4:$H$103,MATCH($D20,Regras!$A$4:$A$103,0)),IF($G20&gt;=$E20*(1+INDEX(Regras!$G$4:$G$103,MATCH($D20,Regras!$A$4:$A$103,0))),INDEX(Regras!$I$4:$I$103,MATCH($D20,Regras!$A$4:$A$103,0)),0))),""))</f>
        <v/>
      </c>
      <c r="V20" s="27">
        <f>IF($AG20&lt;&gt;"Pronta","",IFERROR(IF($H20/$S20&lt;=INDEX(Regras!$J$4:$J$103,MATCH($D20,Regras!$A$4:$A$103,0)),INDEX(Regras!$L$4:$L$103,MATCH($D20,Regras!$A$4:$A$103,0)),IF($H20/$S20&gt;=INDEX(Regras!$K$4:$K$103,MATCH($D20,Regras!$A$4:$A$103,0)),INDEX(Regras!$M$4:$M$103,MATCH($D20,Regras!$A$4:$A$103,0)),0)),""))</f>
        <v/>
      </c>
      <c r="W20" s="27">
        <f>IF($AG20&lt;&gt;"Pronta","",SUM($T20:$V20))</f>
        <v/>
      </c>
      <c r="X20" s="27">
        <f>IF($AG20&lt;&gt;"Pronta","",IFERROR(MAX(-INDEX(Regras!$N$4:$N$103,MATCH($D20,Regras!$A$4:$A$103,0)),MIN(INDEX(Regras!$N$4:$N$103,MATCH($D20,Regras!$A$4:$A$103,0)),$W20)),""))</f>
        <v/>
      </c>
      <c r="Y20" s="19">
        <f>IF($AG20&lt;&gt;"Pronta","",IFERROR(ROUND($E20*(1+$X20),2),""))</f>
        <v/>
      </c>
      <c r="Z20" s="29">
        <f>IF(OR($AG20&lt;&gt;"Pronta",$Q20="",$R20=""),"",IFERROR(ROUND(MIN($R20,MAX($Q20,$Y20)),2),""))</f>
        <v/>
      </c>
      <c r="AA20" s="27">
        <f>IF(OR($E20="",$Z20=""),"",IFERROR($Z20/$E20-1,""))</f>
        <v/>
      </c>
      <c r="AB20" s="26">
        <f>IF($Z20="","",IF($Y20&lt;$Q20,"Piso",IF($Y20&gt;$R20,"Teto","Nenhuma")))</f>
        <v/>
      </c>
      <c r="AC20" s="21">
        <f>IF($A20="","",IF($AG20&lt;&gt;"Pronta","Aguardando dados válidos",_xlfn.TEXTJOIN(" | ",TRUE,IF($T20&gt;0,"Demanda: aumento",IF($T20&lt;0,"Demanda: redução","")),IF($U20&gt;0,"Concorrência: aumento",IF($U20&lt;0,"Concorrência: redução","")),IF($V20&gt;0,"Estoque: aumento",IF($V20&lt;0,"Estoque: redução","")),IF(ABS($W20-$X20)&gt;0.0000001,"Limite da rodada aplicado",""),IF($AB20="Piso","Piso vigente aplicado",IF($AB20="Teto","Teto aplicado","")),IF(AND($T20=0,$U20=0,$V20=0),"Sem gatilho de reajuste",""))))</f>
        <v/>
      </c>
      <c r="AD20" s="21">
        <f>IF(OR($A20="",$AG20&lt;&gt;"Pronta"),"",_xlfn.TEXTJOIN(" | ",TRUE,IF($E20&lt;$Q20,"Preço atual abaixo do piso",""),IF($E20&gt;$R20,"Preço atual acima do teto",""),IF(AND($N20&gt;0,$E20&gt;0,1-$N20/$E20&lt;$O20),"Margem estimada do preço atual abaixo do mínimo",""),IF($G20="","Preço concorrente não informado",""),IF($AB20="Piso","Recomendação travada no piso",""),IF($AB20="Teto","Recomendação travada no teto","")))</f>
        <v/>
      </c>
      <c r="AE20" s="19">
        <f>IF($AG20&lt;&gt;"Pronta","",IF($I20="Aprovar recomendação",$Z20,IF($I20="Manter preço atual",$E20,IF($I20="Definir manualmente",$J20,""))))</f>
        <v/>
      </c>
      <c r="AF20" s="21">
        <f>IF($A20="","",IF($AG20&lt;&gt;"Pronta","Aguardando correção",IF(OR($I20="",$I20="Pendente"),"Decisão pendente",IF(AND($I20="Definir manualmente",OR($J20="",$J20&lt;=0)),"Informe o preço manual",IF(OR($AE20&lt;$Q20,$AE20&gt;$R20),"Preço final fora do piso/teto","OK")))))</f>
        <v/>
      </c>
      <c r="AG20" s="26">
        <f>IF(COUNTA($A20:$K20)=0,"",IF(OR($A20="",$B20="",$C20="",$D20="",$E20="",$F20="",$H20=""),"Incompleta",IF(OR(COUNTIF($A$5:$A$204,$A20)&gt;1,NOT(ISNUMBER($B20)),COUNTIF(Produtos!$A$4:$A$103,$C20)&lt;&gt;1,IFERROR(INDEX(Produtos!$K$4:$K$103,MATCH($C20,Produtos!$A$4:$A$103,0))&lt;&gt;"Ativo",TRUE),IFERROR(INDEX(Produtos!$L$4:$L$103,MATCH($C20,Produtos!$A$4:$A$103,0))&lt;&gt;"OK",TRUE),COUNTIF(Regras!$A$4:$A$103,$D20)&lt;&gt;1,IFERROR(INDEX(Regras!$O$4:$O$103,MATCH($D20,Regras!$A$4:$A$103,0))&lt;&gt;"Sim",TRUE),IFERROR(INDEX(Regras!$P$4:$P$103,MATCH($D20,Regras!$A$4:$A$103,0))&lt;&gt;"OK",TRUE),NOT(ISNUMBER($E20)),$E20&lt;=0,NOT(ISNUMBER($F20)),$F20&lt;0,$F20&gt;5,NOT(ISNUMBER($H20)),$H20&lt;0,$H20&lt;&gt;INT($H20),AND($G20&lt;&gt;"",OR(NOT(ISNUMBER($G20)),$G20&lt;=0))),"Revisar","Pronta")))</f>
        <v/>
      </c>
    </row>
    <row r="21">
      <c r="A21" s="16" t="n"/>
      <c r="B21" s="24" t="n"/>
      <c r="C21" s="16" t="n"/>
      <c r="D21" s="16" t="n"/>
      <c r="E21" s="17" t="n"/>
      <c r="F21" s="18" t="n"/>
      <c r="G21" s="17" t="n"/>
      <c r="H21" s="20" t="n"/>
      <c r="I21" s="16" t="n"/>
      <c r="J21" s="17" t="n"/>
      <c r="K21" s="25" t="n"/>
      <c r="L21" s="26">
        <f>IF($C21="","",IFERROR(INDEX(Produtos!$B$4:$B$103,MATCH($C21,Produtos!$A$4:$A$103,0)),""))</f>
        <v/>
      </c>
      <c r="M21" s="26">
        <f>IF($C21="","",IFERROR(INDEX(Produtos!$C$4:$C$103,MATCH($C21,Produtos!$A$4:$A$103,0)),""))</f>
        <v/>
      </c>
      <c r="N21" s="19">
        <f>IF($C21="","",IFERROR(INDEX(Produtos!$D$4:$D$103,MATCH($C21,Produtos!$A$4:$A$103,0)),""))</f>
        <v/>
      </c>
      <c r="O21" s="27">
        <f>IF($C21="","",IFERROR(INDEX(Produtos!$E$4:$E$103,MATCH($C21,Produtos!$A$4:$A$103,0)),""))</f>
        <v/>
      </c>
      <c r="P21" s="19">
        <f>IF($C21="","",IFERROR(INDEX(Produtos!$G$4:$G$103,MATCH($C21,Produtos!$A$4:$A$103,0)),""))</f>
        <v/>
      </c>
      <c r="Q21" s="19">
        <f>IF($C21="","",IFERROR(INDEX(Produtos!$H$4:$H$103,MATCH($C21,Produtos!$A$4:$A$103,0)),""))</f>
        <v/>
      </c>
      <c r="R21" s="19">
        <f>IF($C21="","",IFERROR(INDEX(Produtos!$I$4:$I$103,MATCH($C21,Produtos!$A$4:$A$103,0)),""))</f>
        <v/>
      </c>
      <c r="S21" s="28">
        <f>IF($C21="","",IFERROR(INDEX(Produtos!$J$4:$J$103,MATCH($C21,Produtos!$A$4:$A$103,0)),""))</f>
        <v/>
      </c>
      <c r="T21" s="27">
        <f>IF($AG21&lt;&gt;"Pronta","",IFERROR(IF($F21&lt;=INDEX(Regras!$C$4:$C$103,MATCH($D21,Regras!$A$4:$A$103,0)),INDEX(Regras!$E$4:$E$103,MATCH($D21,Regras!$A$4:$A$103,0)),IF($F21&gt;=INDEX(Regras!$D$4:$D$103,MATCH($D21,Regras!$A$4:$A$103,0)),INDEX(Regras!$F$4:$F$103,MATCH($D21,Regras!$A$4:$A$103,0)),0)),""))</f>
        <v/>
      </c>
      <c r="U21" s="27">
        <f>IF($AG21&lt;&gt;"Pronta","",IFERROR(IF($G21="",0,IF($G21&lt;=$E21*(1-INDEX(Regras!$G$4:$G$103,MATCH($D21,Regras!$A$4:$A$103,0))),INDEX(Regras!$H$4:$H$103,MATCH($D21,Regras!$A$4:$A$103,0)),IF($G21&gt;=$E21*(1+INDEX(Regras!$G$4:$G$103,MATCH($D21,Regras!$A$4:$A$103,0))),INDEX(Regras!$I$4:$I$103,MATCH($D21,Regras!$A$4:$A$103,0)),0))),""))</f>
        <v/>
      </c>
      <c r="V21" s="27">
        <f>IF($AG21&lt;&gt;"Pronta","",IFERROR(IF($H21/$S21&lt;=INDEX(Regras!$J$4:$J$103,MATCH($D21,Regras!$A$4:$A$103,0)),INDEX(Regras!$L$4:$L$103,MATCH($D21,Regras!$A$4:$A$103,0)),IF($H21/$S21&gt;=INDEX(Regras!$K$4:$K$103,MATCH($D21,Regras!$A$4:$A$103,0)),INDEX(Regras!$M$4:$M$103,MATCH($D21,Regras!$A$4:$A$103,0)),0)),""))</f>
        <v/>
      </c>
      <c r="W21" s="27">
        <f>IF($AG21&lt;&gt;"Pronta","",SUM($T21:$V21))</f>
        <v/>
      </c>
      <c r="X21" s="27">
        <f>IF($AG21&lt;&gt;"Pronta","",IFERROR(MAX(-INDEX(Regras!$N$4:$N$103,MATCH($D21,Regras!$A$4:$A$103,0)),MIN(INDEX(Regras!$N$4:$N$103,MATCH($D21,Regras!$A$4:$A$103,0)),$W21)),""))</f>
        <v/>
      </c>
      <c r="Y21" s="19">
        <f>IF($AG21&lt;&gt;"Pronta","",IFERROR(ROUND($E21*(1+$X21),2),""))</f>
        <v/>
      </c>
      <c r="Z21" s="29">
        <f>IF(OR($AG21&lt;&gt;"Pronta",$Q21="",$R21=""),"",IFERROR(ROUND(MIN($R21,MAX($Q21,$Y21)),2),""))</f>
        <v/>
      </c>
      <c r="AA21" s="27">
        <f>IF(OR($E21="",$Z21=""),"",IFERROR($Z21/$E21-1,""))</f>
        <v/>
      </c>
      <c r="AB21" s="26">
        <f>IF($Z21="","",IF($Y21&lt;$Q21,"Piso",IF($Y21&gt;$R21,"Teto","Nenhuma")))</f>
        <v/>
      </c>
      <c r="AC21" s="21">
        <f>IF($A21="","",IF($AG21&lt;&gt;"Pronta","Aguardando dados válidos",_xlfn.TEXTJOIN(" | ",TRUE,IF($T21&gt;0,"Demanda: aumento",IF($T21&lt;0,"Demanda: redução","")),IF($U21&gt;0,"Concorrência: aumento",IF($U21&lt;0,"Concorrência: redução","")),IF($V21&gt;0,"Estoque: aumento",IF($V21&lt;0,"Estoque: redução","")),IF(ABS($W21-$X21)&gt;0.0000001,"Limite da rodada aplicado",""),IF($AB21="Piso","Piso vigente aplicado",IF($AB21="Teto","Teto aplicado","")),IF(AND($T21=0,$U21=0,$V21=0),"Sem gatilho de reajuste",""))))</f>
        <v/>
      </c>
      <c r="AD21" s="21">
        <f>IF(OR($A21="",$AG21&lt;&gt;"Pronta"),"",_xlfn.TEXTJOIN(" | ",TRUE,IF($E21&lt;$Q21,"Preço atual abaixo do piso",""),IF($E21&gt;$R21,"Preço atual acima do teto",""),IF(AND($N21&gt;0,$E21&gt;0,1-$N21/$E21&lt;$O21),"Margem estimada do preço atual abaixo do mínimo",""),IF($G21="","Preço concorrente não informado",""),IF($AB21="Piso","Recomendação travada no piso",""),IF($AB21="Teto","Recomendação travada no teto","")))</f>
        <v/>
      </c>
      <c r="AE21" s="19">
        <f>IF($AG21&lt;&gt;"Pronta","",IF($I21="Aprovar recomendação",$Z21,IF($I21="Manter preço atual",$E21,IF($I21="Definir manualmente",$J21,""))))</f>
        <v/>
      </c>
      <c r="AF21" s="21">
        <f>IF($A21="","",IF($AG21&lt;&gt;"Pronta","Aguardando correção",IF(OR($I21="",$I21="Pendente"),"Decisão pendente",IF(AND($I21="Definir manualmente",OR($J21="",$J21&lt;=0)),"Informe o preço manual",IF(OR($AE21&lt;$Q21,$AE21&gt;$R21),"Preço final fora do piso/teto","OK")))))</f>
        <v/>
      </c>
      <c r="AG21" s="26">
        <f>IF(COUNTA($A21:$K21)=0,"",IF(OR($A21="",$B21="",$C21="",$D21="",$E21="",$F21="",$H21=""),"Incompleta",IF(OR(COUNTIF($A$5:$A$204,$A21)&gt;1,NOT(ISNUMBER($B21)),COUNTIF(Produtos!$A$4:$A$103,$C21)&lt;&gt;1,IFERROR(INDEX(Produtos!$K$4:$K$103,MATCH($C21,Produtos!$A$4:$A$103,0))&lt;&gt;"Ativo",TRUE),IFERROR(INDEX(Produtos!$L$4:$L$103,MATCH($C21,Produtos!$A$4:$A$103,0))&lt;&gt;"OK",TRUE),COUNTIF(Regras!$A$4:$A$103,$D21)&lt;&gt;1,IFERROR(INDEX(Regras!$O$4:$O$103,MATCH($D21,Regras!$A$4:$A$103,0))&lt;&gt;"Sim",TRUE),IFERROR(INDEX(Regras!$P$4:$P$103,MATCH($D21,Regras!$A$4:$A$103,0))&lt;&gt;"OK",TRUE),NOT(ISNUMBER($E21)),$E21&lt;=0,NOT(ISNUMBER($F21)),$F21&lt;0,$F21&gt;5,NOT(ISNUMBER($H21)),$H21&lt;0,$H21&lt;&gt;INT($H21),AND($G21&lt;&gt;"",OR(NOT(ISNUMBER($G21)),$G21&lt;=0))),"Revisar","Pronta")))</f>
        <v/>
      </c>
    </row>
    <row r="22">
      <c r="A22" s="16" t="n"/>
      <c r="B22" s="24" t="n"/>
      <c r="C22" s="16" t="n"/>
      <c r="D22" s="16" t="n"/>
      <c r="E22" s="17" t="n"/>
      <c r="F22" s="18" t="n"/>
      <c r="G22" s="17" t="n"/>
      <c r="H22" s="20" t="n"/>
      <c r="I22" s="16" t="n"/>
      <c r="J22" s="17" t="n"/>
      <c r="K22" s="25" t="n"/>
      <c r="L22" s="26">
        <f>IF($C22="","",IFERROR(INDEX(Produtos!$B$4:$B$103,MATCH($C22,Produtos!$A$4:$A$103,0)),""))</f>
        <v/>
      </c>
      <c r="M22" s="26">
        <f>IF($C22="","",IFERROR(INDEX(Produtos!$C$4:$C$103,MATCH($C22,Produtos!$A$4:$A$103,0)),""))</f>
        <v/>
      </c>
      <c r="N22" s="19">
        <f>IF($C22="","",IFERROR(INDEX(Produtos!$D$4:$D$103,MATCH($C22,Produtos!$A$4:$A$103,0)),""))</f>
        <v/>
      </c>
      <c r="O22" s="27">
        <f>IF($C22="","",IFERROR(INDEX(Produtos!$E$4:$E$103,MATCH($C22,Produtos!$A$4:$A$103,0)),""))</f>
        <v/>
      </c>
      <c r="P22" s="19">
        <f>IF($C22="","",IFERROR(INDEX(Produtos!$G$4:$G$103,MATCH($C22,Produtos!$A$4:$A$103,0)),""))</f>
        <v/>
      </c>
      <c r="Q22" s="19">
        <f>IF($C22="","",IFERROR(INDEX(Produtos!$H$4:$H$103,MATCH($C22,Produtos!$A$4:$A$103,0)),""))</f>
        <v/>
      </c>
      <c r="R22" s="19">
        <f>IF($C22="","",IFERROR(INDEX(Produtos!$I$4:$I$103,MATCH($C22,Produtos!$A$4:$A$103,0)),""))</f>
        <v/>
      </c>
      <c r="S22" s="28">
        <f>IF($C22="","",IFERROR(INDEX(Produtos!$J$4:$J$103,MATCH($C22,Produtos!$A$4:$A$103,0)),""))</f>
        <v/>
      </c>
      <c r="T22" s="27">
        <f>IF($AG22&lt;&gt;"Pronta","",IFERROR(IF($F22&lt;=INDEX(Regras!$C$4:$C$103,MATCH($D22,Regras!$A$4:$A$103,0)),INDEX(Regras!$E$4:$E$103,MATCH($D22,Regras!$A$4:$A$103,0)),IF($F22&gt;=INDEX(Regras!$D$4:$D$103,MATCH($D22,Regras!$A$4:$A$103,0)),INDEX(Regras!$F$4:$F$103,MATCH($D22,Regras!$A$4:$A$103,0)),0)),""))</f>
        <v/>
      </c>
      <c r="U22" s="27">
        <f>IF($AG22&lt;&gt;"Pronta","",IFERROR(IF($G22="",0,IF($G22&lt;=$E22*(1-INDEX(Regras!$G$4:$G$103,MATCH($D22,Regras!$A$4:$A$103,0))),INDEX(Regras!$H$4:$H$103,MATCH($D22,Regras!$A$4:$A$103,0)),IF($G22&gt;=$E22*(1+INDEX(Regras!$G$4:$G$103,MATCH($D22,Regras!$A$4:$A$103,0))),INDEX(Regras!$I$4:$I$103,MATCH($D22,Regras!$A$4:$A$103,0)),0))),""))</f>
        <v/>
      </c>
      <c r="V22" s="27">
        <f>IF($AG22&lt;&gt;"Pronta","",IFERROR(IF($H22/$S22&lt;=INDEX(Regras!$J$4:$J$103,MATCH($D22,Regras!$A$4:$A$103,0)),INDEX(Regras!$L$4:$L$103,MATCH($D22,Regras!$A$4:$A$103,0)),IF($H22/$S22&gt;=INDEX(Regras!$K$4:$K$103,MATCH($D22,Regras!$A$4:$A$103,0)),INDEX(Regras!$M$4:$M$103,MATCH($D22,Regras!$A$4:$A$103,0)),0)),""))</f>
        <v/>
      </c>
      <c r="W22" s="27">
        <f>IF($AG22&lt;&gt;"Pronta","",SUM($T22:$V22))</f>
        <v/>
      </c>
      <c r="X22" s="27">
        <f>IF($AG22&lt;&gt;"Pronta","",IFERROR(MAX(-INDEX(Regras!$N$4:$N$103,MATCH($D22,Regras!$A$4:$A$103,0)),MIN(INDEX(Regras!$N$4:$N$103,MATCH($D22,Regras!$A$4:$A$103,0)),$W22)),""))</f>
        <v/>
      </c>
      <c r="Y22" s="19">
        <f>IF($AG22&lt;&gt;"Pronta","",IFERROR(ROUND($E22*(1+$X22),2),""))</f>
        <v/>
      </c>
      <c r="Z22" s="29">
        <f>IF(OR($AG22&lt;&gt;"Pronta",$Q22="",$R22=""),"",IFERROR(ROUND(MIN($R22,MAX($Q22,$Y22)),2),""))</f>
        <v/>
      </c>
      <c r="AA22" s="27">
        <f>IF(OR($E22="",$Z22=""),"",IFERROR($Z22/$E22-1,""))</f>
        <v/>
      </c>
      <c r="AB22" s="26">
        <f>IF($Z22="","",IF($Y22&lt;$Q22,"Piso",IF($Y22&gt;$R22,"Teto","Nenhuma")))</f>
        <v/>
      </c>
      <c r="AC22" s="21">
        <f>IF($A22="","",IF($AG22&lt;&gt;"Pronta","Aguardando dados válidos",_xlfn.TEXTJOIN(" | ",TRUE,IF($T22&gt;0,"Demanda: aumento",IF($T22&lt;0,"Demanda: redução","")),IF($U22&gt;0,"Concorrência: aumento",IF($U22&lt;0,"Concorrência: redução","")),IF($V22&gt;0,"Estoque: aumento",IF($V22&lt;0,"Estoque: redução","")),IF(ABS($W22-$X22)&gt;0.0000001,"Limite da rodada aplicado",""),IF($AB22="Piso","Piso vigente aplicado",IF($AB22="Teto","Teto aplicado","")),IF(AND($T22=0,$U22=0,$V22=0),"Sem gatilho de reajuste",""))))</f>
        <v/>
      </c>
      <c r="AD22" s="21">
        <f>IF(OR($A22="",$AG22&lt;&gt;"Pronta"),"",_xlfn.TEXTJOIN(" | ",TRUE,IF($E22&lt;$Q22,"Preço atual abaixo do piso",""),IF($E22&gt;$R22,"Preço atual acima do teto",""),IF(AND($N22&gt;0,$E22&gt;0,1-$N22/$E22&lt;$O22),"Margem estimada do preço atual abaixo do mínimo",""),IF($G22="","Preço concorrente não informado",""),IF($AB22="Piso","Recomendação travada no piso",""),IF($AB22="Teto","Recomendação travada no teto","")))</f>
        <v/>
      </c>
      <c r="AE22" s="19">
        <f>IF($AG22&lt;&gt;"Pronta","",IF($I22="Aprovar recomendação",$Z22,IF($I22="Manter preço atual",$E22,IF($I22="Definir manualmente",$J22,""))))</f>
        <v/>
      </c>
      <c r="AF22" s="21">
        <f>IF($A22="","",IF($AG22&lt;&gt;"Pronta","Aguardando correção",IF(OR($I22="",$I22="Pendente"),"Decisão pendente",IF(AND($I22="Definir manualmente",OR($J22="",$J22&lt;=0)),"Informe o preço manual",IF(OR($AE22&lt;$Q22,$AE22&gt;$R22),"Preço final fora do piso/teto","OK")))))</f>
        <v/>
      </c>
      <c r="AG22" s="26">
        <f>IF(COUNTA($A22:$K22)=0,"",IF(OR($A22="",$B22="",$C22="",$D22="",$E22="",$F22="",$H22=""),"Incompleta",IF(OR(COUNTIF($A$5:$A$204,$A22)&gt;1,NOT(ISNUMBER($B22)),COUNTIF(Produtos!$A$4:$A$103,$C22)&lt;&gt;1,IFERROR(INDEX(Produtos!$K$4:$K$103,MATCH($C22,Produtos!$A$4:$A$103,0))&lt;&gt;"Ativo",TRUE),IFERROR(INDEX(Produtos!$L$4:$L$103,MATCH($C22,Produtos!$A$4:$A$103,0))&lt;&gt;"OK",TRUE),COUNTIF(Regras!$A$4:$A$103,$D22)&lt;&gt;1,IFERROR(INDEX(Regras!$O$4:$O$103,MATCH($D22,Regras!$A$4:$A$103,0))&lt;&gt;"Sim",TRUE),IFERROR(INDEX(Regras!$P$4:$P$103,MATCH($D22,Regras!$A$4:$A$103,0))&lt;&gt;"OK",TRUE),NOT(ISNUMBER($E22)),$E22&lt;=0,NOT(ISNUMBER($F22)),$F22&lt;0,$F22&gt;5,NOT(ISNUMBER($H22)),$H22&lt;0,$H22&lt;&gt;INT($H22),AND($G22&lt;&gt;"",OR(NOT(ISNUMBER($G22)),$G22&lt;=0))),"Revisar","Pronta")))</f>
        <v/>
      </c>
    </row>
    <row r="23">
      <c r="A23" s="16" t="n"/>
      <c r="B23" s="24" t="n"/>
      <c r="C23" s="16" t="n"/>
      <c r="D23" s="16" t="n"/>
      <c r="E23" s="17" t="n"/>
      <c r="F23" s="18" t="n"/>
      <c r="G23" s="17" t="n"/>
      <c r="H23" s="20" t="n"/>
      <c r="I23" s="16" t="n"/>
      <c r="J23" s="17" t="n"/>
      <c r="K23" s="25" t="n"/>
      <c r="L23" s="26">
        <f>IF($C23="","",IFERROR(INDEX(Produtos!$B$4:$B$103,MATCH($C23,Produtos!$A$4:$A$103,0)),""))</f>
        <v/>
      </c>
      <c r="M23" s="26">
        <f>IF($C23="","",IFERROR(INDEX(Produtos!$C$4:$C$103,MATCH($C23,Produtos!$A$4:$A$103,0)),""))</f>
        <v/>
      </c>
      <c r="N23" s="19">
        <f>IF($C23="","",IFERROR(INDEX(Produtos!$D$4:$D$103,MATCH($C23,Produtos!$A$4:$A$103,0)),""))</f>
        <v/>
      </c>
      <c r="O23" s="27">
        <f>IF($C23="","",IFERROR(INDEX(Produtos!$E$4:$E$103,MATCH($C23,Produtos!$A$4:$A$103,0)),""))</f>
        <v/>
      </c>
      <c r="P23" s="19">
        <f>IF($C23="","",IFERROR(INDEX(Produtos!$G$4:$G$103,MATCH($C23,Produtos!$A$4:$A$103,0)),""))</f>
        <v/>
      </c>
      <c r="Q23" s="19">
        <f>IF($C23="","",IFERROR(INDEX(Produtos!$H$4:$H$103,MATCH($C23,Produtos!$A$4:$A$103,0)),""))</f>
        <v/>
      </c>
      <c r="R23" s="19">
        <f>IF($C23="","",IFERROR(INDEX(Produtos!$I$4:$I$103,MATCH($C23,Produtos!$A$4:$A$103,0)),""))</f>
        <v/>
      </c>
      <c r="S23" s="28">
        <f>IF($C23="","",IFERROR(INDEX(Produtos!$J$4:$J$103,MATCH($C23,Produtos!$A$4:$A$103,0)),""))</f>
        <v/>
      </c>
      <c r="T23" s="27">
        <f>IF($AG23&lt;&gt;"Pronta","",IFERROR(IF($F23&lt;=INDEX(Regras!$C$4:$C$103,MATCH($D23,Regras!$A$4:$A$103,0)),INDEX(Regras!$E$4:$E$103,MATCH($D23,Regras!$A$4:$A$103,0)),IF($F23&gt;=INDEX(Regras!$D$4:$D$103,MATCH($D23,Regras!$A$4:$A$103,0)),INDEX(Regras!$F$4:$F$103,MATCH($D23,Regras!$A$4:$A$103,0)),0)),""))</f>
        <v/>
      </c>
      <c r="U23" s="27">
        <f>IF($AG23&lt;&gt;"Pronta","",IFERROR(IF($G23="",0,IF($G23&lt;=$E23*(1-INDEX(Regras!$G$4:$G$103,MATCH($D23,Regras!$A$4:$A$103,0))),INDEX(Regras!$H$4:$H$103,MATCH($D23,Regras!$A$4:$A$103,0)),IF($G23&gt;=$E23*(1+INDEX(Regras!$G$4:$G$103,MATCH($D23,Regras!$A$4:$A$103,0))),INDEX(Regras!$I$4:$I$103,MATCH($D23,Regras!$A$4:$A$103,0)),0))),""))</f>
        <v/>
      </c>
      <c r="V23" s="27">
        <f>IF($AG23&lt;&gt;"Pronta","",IFERROR(IF($H23/$S23&lt;=INDEX(Regras!$J$4:$J$103,MATCH($D23,Regras!$A$4:$A$103,0)),INDEX(Regras!$L$4:$L$103,MATCH($D23,Regras!$A$4:$A$103,0)),IF($H23/$S23&gt;=INDEX(Regras!$K$4:$K$103,MATCH($D23,Regras!$A$4:$A$103,0)),INDEX(Regras!$M$4:$M$103,MATCH($D23,Regras!$A$4:$A$103,0)),0)),""))</f>
        <v/>
      </c>
      <c r="W23" s="27">
        <f>IF($AG23&lt;&gt;"Pronta","",SUM($T23:$V23))</f>
        <v/>
      </c>
      <c r="X23" s="27">
        <f>IF($AG23&lt;&gt;"Pronta","",IFERROR(MAX(-INDEX(Regras!$N$4:$N$103,MATCH($D23,Regras!$A$4:$A$103,0)),MIN(INDEX(Regras!$N$4:$N$103,MATCH($D23,Regras!$A$4:$A$103,0)),$W23)),""))</f>
        <v/>
      </c>
      <c r="Y23" s="19">
        <f>IF($AG23&lt;&gt;"Pronta","",IFERROR(ROUND($E23*(1+$X23),2),""))</f>
        <v/>
      </c>
      <c r="Z23" s="29">
        <f>IF(OR($AG23&lt;&gt;"Pronta",$Q23="",$R23=""),"",IFERROR(ROUND(MIN($R23,MAX($Q23,$Y23)),2),""))</f>
        <v/>
      </c>
      <c r="AA23" s="27">
        <f>IF(OR($E23="",$Z23=""),"",IFERROR($Z23/$E23-1,""))</f>
        <v/>
      </c>
      <c r="AB23" s="26">
        <f>IF($Z23="","",IF($Y23&lt;$Q23,"Piso",IF($Y23&gt;$R23,"Teto","Nenhuma")))</f>
        <v/>
      </c>
      <c r="AC23" s="21">
        <f>IF($A23="","",IF($AG23&lt;&gt;"Pronta","Aguardando dados válidos",_xlfn.TEXTJOIN(" | ",TRUE,IF($T23&gt;0,"Demanda: aumento",IF($T23&lt;0,"Demanda: redução","")),IF($U23&gt;0,"Concorrência: aumento",IF($U23&lt;0,"Concorrência: redução","")),IF($V23&gt;0,"Estoque: aumento",IF($V23&lt;0,"Estoque: redução","")),IF(ABS($W23-$X23)&gt;0.0000001,"Limite da rodada aplicado",""),IF($AB23="Piso","Piso vigente aplicado",IF($AB23="Teto","Teto aplicado","")),IF(AND($T23=0,$U23=0,$V23=0),"Sem gatilho de reajuste",""))))</f>
        <v/>
      </c>
      <c r="AD23" s="21">
        <f>IF(OR($A23="",$AG23&lt;&gt;"Pronta"),"",_xlfn.TEXTJOIN(" | ",TRUE,IF($E23&lt;$Q23,"Preço atual abaixo do piso",""),IF($E23&gt;$R23,"Preço atual acima do teto",""),IF(AND($N23&gt;0,$E23&gt;0,1-$N23/$E23&lt;$O23),"Margem estimada do preço atual abaixo do mínimo",""),IF($G23="","Preço concorrente não informado",""),IF($AB23="Piso","Recomendação travada no piso",""),IF($AB23="Teto","Recomendação travada no teto","")))</f>
        <v/>
      </c>
      <c r="AE23" s="19">
        <f>IF($AG23&lt;&gt;"Pronta","",IF($I23="Aprovar recomendação",$Z23,IF($I23="Manter preço atual",$E23,IF($I23="Definir manualmente",$J23,""))))</f>
        <v/>
      </c>
      <c r="AF23" s="21">
        <f>IF($A23="","",IF($AG23&lt;&gt;"Pronta","Aguardando correção",IF(OR($I23="",$I23="Pendente"),"Decisão pendente",IF(AND($I23="Definir manualmente",OR($J23="",$J23&lt;=0)),"Informe o preço manual",IF(OR($AE23&lt;$Q23,$AE23&gt;$R23),"Preço final fora do piso/teto","OK")))))</f>
        <v/>
      </c>
      <c r="AG23" s="26">
        <f>IF(COUNTA($A23:$K23)=0,"",IF(OR($A23="",$B23="",$C23="",$D23="",$E23="",$F23="",$H23=""),"Incompleta",IF(OR(COUNTIF($A$5:$A$204,$A23)&gt;1,NOT(ISNUMBER($B23)),COUNTIF(Produtos!$A$4:$A$103,$C23)&lt;&gt;1,IFERROR(INDEX(Produtos!$K$4:$K$103,MATCH($C23,Produtos!$A$4:$A$103,0))&lt;&gt;"Ativo",TRUE),IFERROR(INDEX(Produtos!$L$4:$L$103,MATCH($C23,Produtos!$A$4:$A$103,0))&lt;&gt;"OK",TRUE),COUNTIF(Regras!$A$4:$A$103,$D23)&lt;&gt;1,IFERROR(INDEX(Regras!$O$4:$O$103,MATCH($D23,Regras!$A$4:$A$103,0))&lt;&gt;"Sim",TRUE),IFERROR(INDEX(Regras!$P$4:$P$103,MATCH($D23,Regras!$A$4:$A$103,0))&lt;&gt;"OK",TRUE),NOT(ISNUMBER($E23)),$E23&lt;=0,NOT(ISNUMBER($F23)),$F23&lt;0,$F23&gt;5,NOT(ISNUMBER($H23)),$H23&lt;0,$H23&lt;&gt;INT($H23),AND($G23&lt;&gt;"",OR(NOT(ISNUMBER($G23)),$G23&lt;=0))),"Revisar","Pronta")))</f>
        <v/>
      </c>
    </row>
    <row r="24">
      <c r="A24" s="16" t="n"/>
      <c r="B24" s="24" t="n"/>
      <c r="C24" s="16" t="n"/>
      <c r="D24" s="16" t="n"/>
      <c r="E24" s="17" t="n"/>
      <c r="F24" s="18" t="n"/>
      <c r="G24" s="17" t="n"/>
      <c r="H24" s="20" t="n"/>
      <c r="I24" s="16" t="n"/>
      <c r="J24" s="17" t="n"/>
      <c r="K24" s="25" t="n"/>
      <c r="L24" s="26">
        <f>IF($C24="","",IFERROR(INDEX(Produtos!$B$4:$B$103,MATCH($C24,Produtos!$A$4:$A$103,0)),""))</f>
        <v/>
      </c>
      <c r="M24" s="26">
        <f>IF($C24="","",IFERROR(INDEX(Produtos!$C$4:$C$103,MATCH($C24,Produtos!$A$4:$A$103,0)),""))</f>
        <v/>
      </c>
      <c r="N24" s="19">
        <f>IF($C24="","",IFERROR(INDEX(Produtos!$D$4:$D$103,MATCH($C24,Produtos!$A$4:$A$103,0)),""))</f>
        <v/>
      </c>
      <c r="O24" s="27">
        <f>IF($C24="","",IFERROR(INDEX(Produtos!$E$4:$E$103,MATCH($C24,Produtos!$A$4:$A$103,0)),""))</f>
        <v/>
      </c>
      <c r="P24" s="19">
        <f>IF($C24="","",IFERROR(INDEX(Produtos!$G$4:$G$103,MATCH($C24,Produtos!$A$4:$A$103,0)),""))</f>
        <v/>
      </c>
      <c r="Q24" s="19">
        <f>IF($C24="","",IFERROR(INDEX(Produtos!$H$4:$H$103,MATCH($C24,Produtos!$A$4:$A$103,0)),""))</f>
        <v/>
      </c>
      <c r="R24" s="19">
        <f>IF($C24="","",IFERROR(INDEX(Produtos!$I$4:$I$103,MATCH($C24,Produtos!$A$4:$A$103,0)),""))</f>
        <v/>
      </c>
      <c r="S24" s="28">
        <f>IF($C24="","",IFERROR(INDEX(Produtos!$J$4:$J$103,MATCH($C24,Produtos!$A$4:$A$103,0)),""))</f>
        <v/>
      </c>
      <c r="T24" s="27">
        <f>IF($AG24&lt;&gt;"Pronta","",IFERROR(IF($F24&lt;=INDEX(Regras!$C$4:$C$103,MATCH($D24,Regras!$A$4:$A$103,0)),INDEX(Regras!$E$4:$E$103,MATCH($D24,Regras!$A$4:$A$103,0)),IF($F24&gt;=INDEX(Regras!$D$4:$D$103,MATCH($D24,Regras!$A$4:$A$103,0)),INDEX(Regras!$F$4:$F$103,MATCH($D24,Regras!$A$4:$A$103,0)),0)),""))</f>
        <v/>
      </c>
      <c r="U24" s="27">
        <f>IF($AG24&lt;&gt;"Pronta","",IFERROR(IF($G24="",0,IF($G24&lt;=$E24*(1-INDEX(Regras!$G$4:$G$103,MATCH($D24,Regras!$A$4:$A$103,0))),INDEX(Regras!$H$4:$H$103,MATCH($D24,Regras!$A$4:$A$103,0)),IF($G24&gt;=$E24*(1+INDEX(Regras!$G$4:$G$103,MATCH($D24,Regras!$A$4:$A$103,0))),INDEX(Regras!$I$4:$I$103,MATCH($D24,Regras!$A$4:$A$103,0)),0))),""))</f>
        <v/>
      </c>
      <c r="V24" s="27">
        <f>IF($AG24&lt;&gt;"Pronta","",IFERROR(IF($H24/$S24&lt;=INDEX(Regras!$J$4:$J$103,MATCH($D24,Regras!$A$4:$A$103,0)),INDEX(Regras!$L$4:$L$103,MATCH($D24,Regras!$A$4:$A$103,0)),IF($H24/$S24&gt;=INDEX(Regras!$K$4:$K$103,MATCH($D24,Regras!$A$4:$A$103,0)),INDEX(Regras!$M$4:$M$103,MATCH($D24,Regras!$A$4:$A$103,0)),0)),""))</f>
        <v/>
      </c>
      <c r="W24" s="27">
        <f>IF($AG24&lt;&gt;"Pronta","",SUM($T24:$V24))</f>
        <v/>
      </c>
      <c r="X24" s="27">
        <f>IF($AG24&lt;&gt;"Pronta","",IFERROR(MAX(-INDEX(Regras!$N$4:$N$103,MATCH($D24,Regras!$A$4:$A$103,0)),MIN(INDEX(Regras!$N$4:$N$103,MATCH($D24,Regras!$A$4:$A$103,0)),$W24)),""))</f>
        <v/>
      </c>
      <c r="Y24" s="19">
        <f>IF($AG24&lt;&gt;"Pronta","",IFERROR(ROUND($E24*(1+$X24),2),""))</f>
        <v/>
      </c>
      <c r="Z24" s="29">
        <f>IF(OR($AG24&lt;&gt;"Pronta",$Q24="",$R24=""),"",IFERROR(ROUND(MIN($R24,MAX($Q24,$Y24)),2),""))</f>
        <v/>
      </c>
      <c r="AA24" s="27">
        <f>IF(OR($E24="",$Z24=""),"",IFERROR($Z24/$E24-1,""))</f>
        <v/>
      </c>
      <c r="AB24" s="26">
        <f>IF($Z24="","",IF($Y24&lt;$Q24,"Piso",IF($Y24&gt;$R24,"Teto","Nenhuma")))</f>
        <v/>
      </c>
      <c r="AC24" s="21">
        <f>IF($A24="","",IF($AG24&lt;&gt;"Pronta","Aguardando dados válidos",_xlfn.TEXTJOIN(" | ",TRUE,IF($T24&gt;0,"Demanda: aumento",IF($T24&lt;0,"Demanda: redução","")),IF($U24&gt;0,"Concorrência: aumento",IF($U24&lt;0,"Concorrência: redução","")),IF($V24&gt;0,"Estoque: aumento",IF($V24&lt;0,"Estoque: redução","")),IF(ABS($W24-$X24)&gt;0.0000001,"Limite da rodada aplicado",""),IF($AB24="Piso","Piso vigente aplicado",IF($AB24="Teto","Teto aplicado","")),IF(AND($T24=0,$U24=0,$V24=0),"Sem gatilho de reajuste",""))))</f>
        <v/>
      </c>
      <c r="AD24" s="21">
        <f>IF(OR($A24="",$AG24&lt;&gt;"Pronta"),"",_xlfn.TEXTJOIN(" | ",TRUE,IF($E24&lt;$Q24,"Preço atual abaixo do piso",""),IF($E24&gt;$R24,"Preço atual acima do teto",""),IF(AND($N24&gt;0,$E24&gt;0,1-$N24/$E24&lt;$O24),"Margem estimada do preço atual abaixo do mínimo",""),IF($G24="","Preço concorrente não informado",""),IF($AB24="Piso","Recomendação travada no piso",""),IF($AB24="Teto","Recomendação travada no teto","")))</f>
        <v/>
      </c>
      <c r="AE24" s="19">
        <f>IF($AG24&lt;&gt;"Pronta","",IF($I24="Aprovar recomendação",$Z24,IF($I24="Manter preço atual",$E24,IF($I24="Definir manualmente",$J24,""))))</f>
        <v/>
      </c>
      <c r="AF24" s="21">
        <f>IF($A24="","",IF($AG24&lt;&gt;"Pronta","Aguardando correção",IF(OR($I24="",$I24="Pendente"),"Decisão pendente",IF(AND($I24="Definir manualmente",OR($J24="",$J24&lt;=0)),"Informe o preço manual",IF(OR($AE24&lt;$Q24,$AE24&gt;$R24),"Preço final fora do piso/teto","OK")))))</f>
        <v/>
      </c>
      <c r="AG24" s="26">
        <f>IF(COUNTA($A24:$K24)=0,"",IF(OR($A24="",$B24="",$C24="",$D24="",$E24="",$F24="",$H24=""),"Incompleta",IF(OR(COUNTIF($A$5:$A$204,$A24)&gt;1,NOT(ISNUMBER($B24)),COUNTIF(Produtos!$A$4:$A$103,$C24)&lt;&gt;1,IFERROR(INDEX(Produtos!$K$4:$K$103,MATCH($C24,Produtos!$A$4:$A$103,0))&lt;&gt;"Ativo",TRUE),IFERROR(INDEX(Produtos!$L$4:$L$103,MATCH($C24,Produtos!$A$4:$A$103,0))&lt;&gt;"OK",TRUE),COUNTIF(Regras!$A$4:$A$103,$D24)&lt;&gt;1,IFERROR(INDEX(Regras!$O$4:$O$103,MATCH($D24,Regras!$A$4:$A$103,0))&lt;&gt;"Sim",TRUE),IFERROR(INDEX(Regras!$P$4:$P$103,MATCH($D24,Regras!$A$4:$A$103,0))&lt;&gt;"OK",TRUE),NOT(ISNUMBER($E24)),$E24&lt;=0,NOT(ISNUMBER($F24)),$F24&lt;0,$F24&gt;5,NOT(ISNUMBER($H24)),$H24&lt;0,$H24&lt;&gt;INT($H24),AND($G24&lt;&gt;"",OR(NOT(ISNUMBER($G24)),$G24&lt;=0))),"Revisar","Pronta")))</f>
        <v/>
      </c>
    </row>
    <row r="25">
      <c r="A25" s="16" t="n"/>
      <c r="B25" s="24" t="n"/>
      <c r="C25" s="16" t="n"/>
      <c r="D25" s="16" t="n"/>
      <c r="E25" s="17" t="n"/>
      <c r="F25" s="18" t="n"/>
      <c r="G25" s="17" t="n"/>
      <c r="H25" s="20" t="n"/>
      <c r="I25" s="16" t="n"/>
      <c r="J25" s="17" t="n"/>
      <c r="K25" s="25" t="n"/>
      <c r="L25" s="26">
        <f>IF($C25="","",IFERROR(INDEX(Produtos!$B$4:$B$103,MATCH($C25,Produtos!$A$4:$A$103,0)),""))</f>
        <v/>
      </c>
      <c r="M25" s="26">
        <f>IF($C25="","",IFERROR(INDEX(Produtos!$C$4:$C$103,MATCH($C25,Produtos!$A$4:$A$103,0)),""))</f>
        <v/>
      </c>
      <c r="N25" s="19">
        <f>IF($C25="","",IFERROR(INDEX(Produtos!$D$4:$D$103,MATCH($C25,Produtos!$A$4:$A$103,0)),""))</f>
        <v/>
      </c>
      <c r="O25" s="27">
        <f>IF($C25="","",IFERROR(INDEX(Produtos!$E$4:$E$103,MATCH($C25,Produtos!$A$4:$A$103,0)),""))</f>
        <v/>
      </c>
      <c r="P25" s="19">
        <f>IF($C25="","",IFERROR(INDEX(Produtos!$G$4:$G$103,MATCH($C25,Produtos!$A$4:$A$103,0)),""))</f>
        <v/>
      </c>
      <c r="Q25" s="19">
        <f>IF($C25="","",IFERROR(INDEX(Produtos!$H$4:$H$103,MATCH($C25,Produtos!$A$4:$A$103,0)),""))</f>
        <v/>
      </c>
      <c r="R25" s="19">
        <f>IF($C25="","",IFERROR(INDEX(Produtos!$I$4:$I$103,MATCH($C25,Produtos!$A$4:$A$103,0)),""))</f>
        <v/>
      </c>
      <c r="S25" s="28">
        <f>IF($C25="","",IFERROR(INDEX(Produtos!$J$4:$J$103,MATCH($C25,Produtos!$A$4:$A$103,0)),""))</f>
        <v/>
      </c>
      <c r="T25" s="27">
        <f>IF($AG25&lt;&gt;"Pronta","",IFERROR(IF($F25&lt;=INDEX(Regras!$C$4:$C$103,MATCH($D25,Regras!$A$4:$A$103,0)),INDEX(Regras!$E$4:$E$103,MATCH($D25,Regras!$A$4:$A$103,0)),IF($F25&gt;=INDEX(Regras!$D$4:$D$103,MATCH($D25,Regras!$A$4:$A$103,0)),INDEX(Regras!$F$4:$F$103,MATCH($D25,Regras!$A$4:$A$103,0)),0)),""))</f>
        <v/>
      </c>
      <c r="U25" s="27">
        <f>IF($AG25&lt;&gt;"Pronta","",IFERROR(IF($G25="",0,IF($G25&lt;=$E25*(1-INDEX(Regras!$G$4:$G$103,MATCH($D25,Regras!$A$4:$A$103,0))),INDEX(Regras!$H$4:$H$103,MATCH($D25,Regras!$A$4:$A$103,0)),IF($G25&gt;=$E25*(1+INDEX(Regras!$G$4:$G$103,MATCH($D25,Regras!$A$4:$A$103,0))),INDEX(Regras!$I$4:$I$103,MATCH($D25,Regras!$A$4:$A$103,0)),0))),""))</f>
        <v/>
      </c>
      <c r="V25" s="27">
        <f>IF($AG25&lt;&gt;"Pronta","",IFERROR(IF($H25/$S25&lt;=INDEX(Regras!$J$4:$J$103,MATCH($D25,Regras!$A$4:$A$103,0)),INDEX(Regras!$L$4:$L$103,MATCH($D25,Regras!$A$4:$A$103,0)),IF($H25/$S25&gt;=INDEX(Regras!$K$4:$K$103,MATCH($D25,Regras!$A$4:$A$103,0)),INDEX(Regras!$M$4:$M$103,MATCH($D25,Regras!$A$4:$A$103,0)),0)),""))</f>
        <v/>
      </c>
      <c r="W25" s="27">
        <f>IF($AG25&lt;&gt;"Pronta","",SUM($T25:$V25))</f>
        <v/>
      </c>
      <c r="X25" s="27">
        <f>IF($AG25&lt;&gt;"Pronta","",IFERROR(MAX(-INDEX(Regras!$N$4:$N$103,MATCH($D25,Regras!$A$4:$A$103,0)),MIN(INDEX(Regras!$N$4:$N$103,MATCH($D25,Regras!$A$4:$A$103,0)),$W25)),""))</f>
        <v/>
      </c>
      <c r="Y25" s="19">
        <f>IF($AG25&lt;&gt;"Pronta","",IFERROR(ROUND($E25*(1+$X25),2),""))</f>
        <v/>
      </c>
      <c r="Z25" s="29">
        <f>IF(OR($AG25&lt;&gt;"Pronta",$Q25="",$R25=""),"",IFERROR(ROUND(MIN($R25,MAX($Q25,$Y25)),2),""))</f>
        <v/>
      </c>
      <c r="AA25" s="27">
        <f>IF(OR($E25="",$Z25=""),"",IFERROR($Z25/$E25-1,""))</f>
        <v/>
      </c>
      <c r="AB25" s="26">
        <f>IF($Z25="","",IF($Y25&lt;$Q25,"Piso",IF($Y25&gt;$R25,"Teto","Nenhuma")))</f>
        <v/>
      </c>
      <c r="AC25" s="21">
        <f>IF($A25="","",IF($AG25&lt;&gt;"Pronta","Aguardando dados válidos",_xlfn.TEXTJOIN(" | ",TRUE,IF($T25&gt;0,"Demanda: aumento",IF($T25&lt;0,"Demanda: redução","")),IF($U25&gt;0,"Concorrência: aumento",IF($U25&lt;0,"Concorrência: redução","")),IF($V25&gt;0,"Estoque: aumento",IF($V25&lt;0,"Estoque: redução","")),IF(ABS($W25-$X25)&gt;0.0000001,"Limite da rodada aplicado",""),IF($AB25="Piso","Piso vigente aplicado",IF($AB25="Teto","Teto aplicado","")),IF(AND($T25=0,$U25=0,$V25=0),"Sem gatilho de reajuste",""))))</f>
        <v/>
      </c>
      <c r="AD25" s="21">
        <f>IF(OR($A25="",$AG25&lt;&gt;"Pronta"),"",_xlfn.TEXTJOIN(" | ",TRUE,IF($E25&lt;$Q25,"Preço atual abaixo do piso",""),IF($E25&gt;$R25,"Preço atual acima do teto",""),IF(AND($N25&gt;0,$E25&gt;0,1-$N25/$E25&lt;$O25),"Margem estimada do preço atual abaixo do mínimo",""),IF($G25="","Preço concorrente não informado",""),IF($AB25="Piso","Recomendação travada no piso",""),IF($AB25="Teto","Recomendação travada no teto","")))</f>
        <v/>
      </c>
      <c r="AE25" s="19">
        <f>IF($AG25&lt;&gt;"Pronta","",IF($I25="Aprovar recomendação",$Z25,IF($I25="Manter preço atual",$E25,IF($I25="Definir manualmente",$J25,""))))</f>
        <v/>
      </c>
      <c r="AF25" s="21">
        <f>IF($A25="","",IF($AG25&lt;&gt;"Pronta","Aguardando correção",IF(OR($I25="",$I25="Pendente"),"Decisão pendente",IF(AND($I25="Definir manualmente",OR($J25="",$J25&lt;=0)),"Informe o preço manual",IF(OR($AE25&lt;$Q25,$AE25&gt;$R25),"Preço final fora do piso/teto","OK")))))</f>
        <v/>
      </c>
      <c r="AG25" s="26">
        <f>IF(COUNTA($A25:$K25)=0,"",IF(OR($A25="",$B25="",$C25="",$D25="",$E25="",$F25="",$H25=""),"Incompleta",IF(OR(COUNTIF($A$5:$A$204,$A25)&gt;1,NOT(ISNUMBER($B25)),COUNTIF(Produtos!$A$4:$A$103,$C25)&lt;&gt;1,IFERROR(INDEX(Produtos!$K$4:$K$103,MATCH($C25,Produtos!$A$4:$A$103,0))&lt;&gt;"Ativo",TRUE),IFERROR(INDEX(Produtos!$L$4:$L$103,MATCH($C25,Produtos!$A$4:$A$103,0))&lt;&gt;"OK",TRUE),COUNTIF(Regras!$A$4:$A$103,$D25)&lt;&gt;1,IFERROR(INDEX(Regras!$O$4:$O$103,MATCH($D25,Regras!$A$4:$A$103,0))&lt;&gt;"Sim",TRUE),IFERROR(INDEX(Regras!$P$4:$P$103,MATCH($D25,Regras!$A$4:$A$103,0))&lt;&gt;"OK",TRUE),NOT(ISNUMBER($E25)),$E25&lt;=0,NOT(ISNUMBER($F25)),$F25&lt;0,$F25&gt;5,NOT(ISNUMBER($H25)),$H25&lt;0,$H25&lt;&gt;INT($H25),AND($G25&lt;&gt;"",OR(NOT(ISNUMBER($G25)),$G25&lt;=0))),"Revisar","Pronta")))</f>
        <v/>
      </c>
    </row>
    <row r="26">
      <c r="A26" s="16" t="n"/>
      <c r="B26" s="24" t="n"/>
      <c r="C26" s="16" t="n"/>
      <c r="D26" s="16" t="n"/>
      <c r="E26" s="17" t="n"/>
      <c r="F26" s="18" t="n"/>
      <c r="G26" s="17" t="n"/>
      <c r="H26" s="20" t="n"/>
      <c r="I26" s="16" t="n"/>
      <c r="J26" s="17" t="n"/>
      <c r="K26" s="25" t="n"/>
      <c r="L26" s="26">
        <f>IF($C26="","",IFERROR(INDEX(Produtos!$B$4:$B$103,MATCH($C26,Produtos!$A$4:$A$103,0)),""))</f>
        <v/>
      </c>
      <c r="M26" s="26">
        <f>IF($C26="","",IFERROR(INDEX(Produtos!$C$4:$C$103,MATCH($C26,Produtos!$A$4:$A$103,0)),""))</f>
        <v/>
      </c>
      <c r="N26" s="19">
        <f>IF($C26="","",IFERROR(INDEX(Produtos!$D$4:$D$103,MATCH($C26,Produtos!$A$4:$A$103,0)),""))</f>
        <v/>
      </c>
      <c r="O26" s="27">
        <f>IF($C26="","",IFERROR(INDEX(Produtos!$E$4:$E$103,MATCH($C26,Produtos!$A$4:$A$103,0)),""))</f>
        <v/>
      </c>
      <c r="P26" s="19">
        <f>IF($C26="","",IFERROR(INDEX(Produtos!$G$4:$G$103,MATCH($C26,Produtos!$A$4:$A$103,0)),""))</f>
        <v/>
      </c>
      <c r="Q26" s="19">
        <f>IF($C26="","",IFERROR(INDEX(Produtos!$H$4:$H$103,MATCH($C26,Produtos!$A$4:$A$103,0)),""))</f>
        <v/>
      </c>
      <c r="R26" s="19">
        <f>IF($C26="","",IFERROR(INDEX(Produtos!$I$4:$I$103,MATCH($C26,Produtos!$A$4:$A$103,0)),""))</f>
        <v/>
      </c>
      <c r="S26" s="28">
        <f>IF($C26="","",IFERROR(INDEX(Produtos!$J$4:$J$103,MATCH($C26,Produtos!$A$4:$A$103,0)),""))</f>
        <v/>
      </c>
      <c r="T26" s="27">
        <f>IF($AG26&lt;&gt;"Pronta","",IFERROR(IF($F26&lt;=INDEX(Regras!$C$4:$C$103,MATCH($D26,Regras!$A$4:$A$103,0)),INDEX(Regras!$E$4:$E$103,MATCH($D26,Regras!$A$4:$A$103,0)),IF($F26&gt;=INDEX(Regras!$D$4:$D$103,MATCH($D26,Regras!$A$4:$A$103,0)),INDEX(Regras!$F$4:$F$103,MATCH($D26,Regras!$A$4:$A$103,0)),0)),""))</f>
        <v/>
      </c>
      <c r="U26" s="27">
        <f>IF($AG26&lt;&gt;"Pronta","",IFERROR(IF($G26="",0,IF($G26&lt;=$E26*(1-INDEX(Regras!$G$4:$G$103,MATCH($D26,Regras!$A$4:$A$103,0))),INDEX(Regras!$H$4:$H$103,MATCH($D26,Regras!$A$4:$A$103,0)),IF($G26&gt;=$E26*(1+INDEX(Regras!$G$4:$G$103,MATCH($D26,Regras!$A$4:$A$103,0))),INDEX(Regras!$I$4:$I$103,MATCH($D26,Regras!$A$4:$A$103,0)),0))),""))</f>
        <v/>
      </c>
      <c r="V26" s="27">
        <f>IF($AG26&lt;&gt;"Pronta","",IFERROR(IF($H26/$S26&lt;=INDEX(Regras!$J$4:$J$103,MATCH($D26,Regras!$A$4:$A$103,0)),INDEX(Regras!$L$4:$L$103,MATCH($D26,Regras!$A$4:$A$103,0)),IF($H26/$S26&gt;=INDEX(Regras!$K$4:$K$103,MATCH($D26,Regras!$A$4:$A$103,0)),INDEX(Regras!$M$4:$M$103,MATCH($D26,Regras!$A$4:$A$103,0)),0)),""))</f>
        <v/>
      </c>
      <c r="W26" s="27">
        <f>IF($AG26&lt;&gt;"Pronta","",SUM($T26:$V26))</f>
        <v/>
      </c>
      <c r="X26" s="27">
        <f>IF($AG26&lt;&gt;"Pronta","",IFERROR(MAX(-INDEX(Regras!$N$4:$N$103,MATCH($D26,Regras!$A$4:$A$103,0)),MIN(INDEX(Regras!$N$4:$N$103,MATCH($D26,Regras!$A$4:$A$103,0)),$W26)),""))</f>
        <v/>
      </c>
      <c r="Y26" s="19">
        <f>IF($AG26&lt;&gt;"Pronta","",IFERROR(ROUND($E26*(1+$X26),2),""))</f>
        <v/>
      </c>
      <c r="Z26" s="29">
        <f>IF(OR($AG26&lt;&gt;"Pronta",$Q26="",$R26=""),"",IFERROR(ROUND(MIN($R26,MAX($Q26,$Y26)),2),""))</f>
        <v/>
      </c>
      <c r="AA26" s="27">
        <f>IF(OR($E26="",$Z26=""),"",IFERROR($Z26/$E26-1,""))</f>
        <v/>
      </c>
      <c r="AB26" s="26">
        <f>IF($Z26="","",IF($Y26&lt;$Q26,"Piso",IF($Y26&gt;$R26,"Teto","Nenhuma")))</f>
        <v/>
      </c>
      <c r="AC26" s="21">
        <f>IF($A26="","",IF($AG26&lt;&gt;"Pronta","Aguardando dados válidos",_xlfn.TEXTJOIN(" | ",TRUE,IF($T26&gt;0,"Demanda: aumento",IF($T26&lt;0,"Demanda: redução","")),IF($U26&gt;0,"Concorrência: aumento",IF($U26&lt;0,"Concorrência: redução","")),IF($V26&gt;0,"Estoque: aumento",IF($V26&lt;0,"Estoque: redução","")),IF(ABS($W26-$X26)&gt;0.0000001,"Limite da rodada aplicado",""),IF($AB26="Piso","Piso vigente aplicado",IF($AB26="Teto","Teto aplicado","")),IF(AND($T26=0,$U26=0,$V26=0),"Sem gatilho de reajuste",""))))</f>
        <v/>
      </c>
      <c r="AD26" s="21">
        <f>IF(OR($A26="",$AG26&lt;&gt;"Pronta"),"",_xlfn.TEXTJOIN(" | ",TRUE,IF($E26&lt;$Q26,"Preço atual abaixo do piso",""),IF($E26&gt;$R26,"Preço atual acima do teto",""),IF(AND($N26&gt;0,$E26&gt;0,1-$N26/$E26&lt;$O26),"Margem estimada do preço atual abaixo do mínimo",""),IF($G26="","Preço concorrente não informado",""),IF($AB26="Piso","Recomendação travada no piso",""),IF($AB26="Teto","Recomendação travada no teto","")))</f>
        <v/>
      </c>
      <c r="AE26" s="19">
        <f>IF($AG26&lt;&gt;"Pronta","",IF($I26="Aprovar recomendação",$Z26,IF($I26="Manter preço atual",$E26,IF($I26="Definir manualmente",$J26,""))))</f>
        <v/>
      </c>
      <c r="AF26" s="21">
        <f>IF($A26="","",IF($AG26&lt;&gt;"Pronta","Aguardando correção",IF(OR($I26="",$I26="Pendente"),"Decisão pendente",IF(AND($I26="Definir manualmente",OR($J26="",$J26&lt;=0)),"Informe o preço manual",IF(OR($AE26&lt;$Q26,$AE26&gt;$R26),"Preço final fora do piso/teto","OK")))))</f>
        <v/>
      </c>
      <c r="AG26" s="26">
        <f>IF(COUNTA($A26:$K26)=0,"",IF(OR($A26="",$B26="",$C26="",$D26="",$E26="",$F26="",$H26=""),"Incompleta",IF(OR(COUNTIF($A$5:$A$204,$A26)&gt;1,NOT(ISNUMBER($B26)),COUNTIF(Produtos!$A$4:$A$103,$C26)&lt;&gt;1,IFERROR(INDEX(Produtos!$K$4:$K$103,MATCH($C26,Produtos!$A$4:$A$103,0))&lt;&gt;"Ativo",TRUE),IFERROR(INDEX(Produtos!$L$4:$L$103,MATCH($C26,Produtos!$A$4:$A$103,0))&lt;&gt;"OK",TRUE),COUNTIF(Regras!$A$4:$A$103,$D26)&lt;&gt;1,IFERROR(INDEX(Regras!$O$4:$O$103,MATCH($D26,Regras!$A$4:$A$103,0))&lt;&gt;"Sim",TRUE),IFERROR(INDEX(Regras!$P$4:$P$103,MATCH($D26,Regras!$A$4:$A$103,0))&lt;&gt;"OK",TRUE),NOT(ISNUMBER($E26)),$E26&lt;=0,NOT(ISNUMBER($F26)),$F26&lt;0,$F26&gt;5,NOT(ISNUMBER($H26)),$H26&lt;0,$H26&lt;&gt;INT($H26),AND($G26&lt;&gt;"",OR(NOT(ISNUMBER($G26)),$G26&lt;=0))),"Revisar","Pronta")))</f>
        <v/>
      </c>
    </row>
    <row r="27">
      <c r="A27" s="16" t="n"/>
      <c r="B27" s="24" t="n"/>
      <c r="C27" s="16" t="n"/>
      <c r="D27" s="16" t="n"/>
      <c r="E27" s="17" t="n"/>
      <c r="F27" s="18" t="n"/>
      <c r="G27" s="17" t="n"/>
      <c r="H27" s="20" t="n"/>
      <c r="I27" s="16" t="n"/>
      <c r="J27" s="17" t="n"/>
      <c r="K27" s="25" t="n"/>
      <c r="L27" s="26">
        <f>IF($C27="","",IFERROR(INDEX(Produtos!$B$4:$B$103,MATCH($C27,Produtos!$A$4:$A$103,0)),""))</f>
        <v/>
      </c>
      <c r="M27" s="26">
        <f>IF($C27="","",IFERROR(INDEX(Produtos!$C$4:$C$103,MATCH($C27,Produtos!$A$4:$A$103,0)),""))</f>
        <v/>
      </c>
      <c r="N27" s="19">
        <f>IF($C27="","",IFERROR(INDEX(Produtos!$D$4:$D$103,MATCH($C27,Produtos!$A$4:$A$103,0)),""))</f>
        <v/>
      </c>
      <c r="O27" s="27">
        <f>IF($C27="","",IFERROR(INDEX(Produtos!$E$4:$E$103,MATCH($C27,Produtos!$A$4:$A$103,0)),""))</f>
        <v/>
      </c>
      <c r="P27" s="19">
        <f>IF($C27="","",IFERROR(INDEX(Produtos!$G$4:$G$103,MATCH($C27,Produtos!$A$4:$A$103,0)),""))</f>
        <v/>
      </c>
      <c r="Q27" s="19">
        <f>IF($C27="","",IFERROR(INDEX(Produtos!$H$4:$H$103,MATCH($C27,Produtos!$A$4:$A$103,0)),""))</f>
        <v/>
      </c>
      <c r="R27" s="19">
        <f>IF($C27="","",IFERROR(INDEX(Produtos!$I$4:$I$103,MATCH($C27,Produtos!$A$4:$A$103,0)),""))</f>
        <v/>
      </c>
      <c r="S27" s="28">
        <f>IF($C27="","",IFERROR(INDEX(Produtos!$J$4:$J$103,MATCH($C27,Produtos!$A$4:$A$103,0)),""))</f>
        <v/>
      </c>
      <c r="T27" s="27">
        <f>IF($AG27&lt;&gt;"Pronta","",IFERROR(IF($F27&lt;=INDEX(Regras!$C$4:$C$103,MATCH($D27,Regras!$A$4:$A$103,0)),INDEX(Regras!$E$4:$E$103,MATCH($D27,Regras!$A$4:$A$103,0)),IF($F27&gt;=INDEX(Regras!$D$4:$D$103,MATCH($D27,Regras!$A$4:$A$103,0)),INDEX(Regras!$F$4:$F$103,MATCH($D27,Regras!$A$4:$A$103,0)),0)),""))</f>
        <v/>
      </c>
      <c r="U27" s="27">
        <f>IF($AG27&lt;&gt;"Pronta","",IFERROR(IF($G27="",0,IF($G27&lt;=$E27*(1-INDEX(Regras!$G$4:$G$103,MATCH($D27,Regras!$A$4:$A$103,0))),INDEX(Regras!$H$4:$H$103,MATCH($D27,Regras!$A$4:$A$103,0)),IF($G27&gt;=$E27*(1+INDEX(Regras!$G$4:$G$103,MATCH($D27,Regras!$A$4:$A$103,0))),INDEX(Regras!$I$4:$I$103,MATCH($D27,Regras!$A$4:$A$103,0)),0))),""))</f>
        <v/>
      </c>
      <c r="V27" s="27">
        <f>IF($AG27&lt;&gt;"Pronta","",IFERROR(IF($H27/$S27&lt;=INDEX(Regras!$J$4:$J$103,MATCH($D27,Regras!$A$4:$A$103,0)),INDEX(Regras!$L$4:$L$103,MATCH($D27,Regras!$A$4:$A$103,0)),IF($H27/$S27&gt;=INDEX(Regras!$K$4:$K$103,MATCH($D27,Regras!$A$4:$A$103,0)),INDEX(Regras!$M$4:$M$103,MATCH($D27,Regras!$A$4:$A$103,0)),0)),""))</f>
        <v/>
      </c>
      <c r="W27" s="27">
        <f>IF($AG27&lt;&gt;"Pronta","",SUM($T27:$V27))</f>
        <v/>
      </c>
      <c r="X27" s="27">
        <f>IF($AG27&lt;&gt;"Pronta","",IFERROR(MAX(-INDEX(Regras!$N$4:$N$103,MATCH($D27,Regras!$A$4:$A$103,0)),MIN(INDEX(Regras!$N$4:$N$103,MATCH($D27,Regras!$A$4:$A$103,0)),$W27)),""))</f>
        <v/>
      </c>
      <c r="Y27" s="19">
        <f>IF($AG27&lt;&gt;"Pronta","",IFERROR(ROUND($E27*(1+$X27),2),""))</f>
        <v/>
      </c>
      <c r="Z27" s="29">
        <f>IF(OR($AG27&lt;&gt;"Pronta",$Q27="",$R27=""),"",IFERROR(ROUND(MIN($R27,MAX($Q27,$Y27)),2),""))</f>
        <v/>
      </c>
      <c r="AA27" s="27">
        <f>IF(OR($E27="",$Z27=""),"",IFERROR($Z27/$E27-1,""))</f>
        <v/>
      </c>
      <c r="AB27" s="26">
        <f>IF($Z27="","",IF($Y27&lt;$Q27,"Piso",IF($Y27&gt;$R27,"Teto","Nenhuma")))</f>
        <v/>
      </c>
      <c r="AC27" s="21">
        <f>IF($A27="","",IF($AG27&lt;&gt;"Pronta","Aguardando dados válidos",_xlfn.TEXTJOIN(" | ",TRUE,IF($T27&gt;0,"Demanda: aumento",IF($T27&lt;0,"Demanda: redução","")),IF($U27&gt;0,"Concorrência: aumento",IF($U27&lt;0,"Concorrência: redução","")),IF($V27&gt;0,"Estoque: aumento",IF($V27&lt;0,"Estoque: redução","")),IF(ABS($W27-$X27)&gt;0.0000001,"Limite da rodada aplicado",""),IF($AB27="Piso","Piso vigente aplicado",IF($AB27="Teto","Teto aplicado","")),IF(AND($T27=0,$U27=0,$V27=0),"Sem gatilho de reajuste",""))))</f>
        <v/>
      </c>
      <c r="AD27" s="21">
        <f>IF(OR($A27="",$AG27&lt;&gt;"Pronta"),"",_xlfn.TEXTJOIN(" | ",TRUE,IF($E27&lt;$Q27,"Preço atual abaixo do piso",""),IF($E27&gt;$R27,"Preço atual acima do teto",""),IF(AND($N27&gt;0,$E27&gt;0,1-$N27/$E27&lt;$O27),"Margem estimada do preço atual abaixo do mínimo",""),IF($G27="","Preço concorrente não informado",""),IF($AB27="Piso","Recomendação travada no piso",""),IF($AB27="Teto","Recomendação travada no teto","")))</f>
        <v/>
      </c>
      <c r="AE27" s="19">
        <f>IF($AG27&lt;&gt;"Pronta","",IF($I27="Aprovar recomendação",$Z27,IF($I27="Manter preço atual",$E27,IF($I27="Definir manualmente",$J27,""))))</f>
        <v/>
      </c>
      <c r="AF27" s="21">
        <f>IF($A27="","",IF($AG27&lt;&gt;"Pronta","Aguardando correção",IF(OR($I27="",$I27="Pendente"),"Decisão pendente",IF(AND($I27="Definir manualmente",OR($J27="",$J27&lt;=0)),"Informe o preço manual",IF(OR($AE27&lt;$Q27,$AE27&gt;$R27),"Preço final fora do piso/teto","OK")))))</f>
        <v/>
      </c>
      <c r="AG27" s="26">
        <f>IF(COUNTA($A27:$K27)=0,"",IF(OR($A27="",$B27="",$C27="",$D27="",$E27="",$F27="",$H27=""),"Incompleta",IF(OR(COUNTIF($A$5:$A$204,$A27)&gt;1,NOT(ISNUMBER($B27)),COUNTIF(Produtos!$A$4:$A$103,$C27)&lt;&gt;1,IFERROR(INDEX(Produtos!$K$4:$K$103,MATCH($C27,Produtos!$A$4:$A$103,0))&lt;&gt;"Ativo",TRUE),IFERROR(INDEX(Produtos!$L$4:$L$103,MATCH($C27,Produtos!$A$4:$A$103,0))&lt;&gt;"OK",TRUE),COUNTIF(Regras!$A$4:$A$103,$D27)&lt;&gt;1,IFERROR(INDEX(Regras!$O$4:$O$103,MATCH($D27,Regras!$A$4:$A$103,0))&lt;&gt;"Sim",TRUE),IFERROR(INDEX(Regras!$P$4:$P$103,MATCH($D27,Regras!$A$4:$A$103,0))&lt;&gt;"OK",TRUE),NOT(ISNUMBER($E27)),$E27&lt;=0,NOT(ISNUMBER($F27)),$F27&lt;0,$F27&gt;5,NOT(ISNUMBER($H27)),$H27&lt;0,$H27&lt;&gt;INT($H27),AND($G27&lt;&gt;"",OR(NOT(ISNUMBER($G27)),$G27&lt;=0))),"Revisar","Pronta")))</f>
        <v/>
      </c>
    </row>
    <row r="28">
      <c r="A28" s="16" t="n"/>
      <c r="B28" s="24" t="n"/>
      <c r="C28" s="16" t="n"/>
      <c r="D28" s="16" t="n"/>
      <c r="E28" s="17" t="n"/>
      <c r="F28" s="18" t="n"/>
      <c r="G28" s="17" t="n"/>
      <c r="H28" s="20" t="n"/>
      <c r="I28" s="16" t="n"/>
      <c r="J28" s="17" t="n"/>
      <c r="K28" s="25" t="n"/>
      <c r="L28" s="26">
        <f>IF($C28="","",IFERROR(INDEX(Produtos!$B$4:$B$103,MATCH($C28,Produtos!$A$4:$A$103,0)),""))</f>
        <v/>
      </c>
      <c r="M28" s="26">
        <f>IF($C28="","",IFERROR(INDEX(Produtos!$C$4:$C$103,MATCH($C28,Produtos!$A$4:$A$103,0)),""))</f>
        <v/>
      </c>
      <c r="N28" s="19">
        <f>IF($C28="","",IFERROR(INDEX(Produtos!$D$4:$D$103,MATCH($C28,Produtos!$A$4:$A$103,0)),""))</f>
        <v/>
      </c>
      <c r="O28" s="27">
        <f>IF($C28="","",IFERROR(INDEX(Produtos!$E$4:$E$103,MATCH($C28,Produtos!$A$4:$A$103,0)),""))</f>
        <v/>
      </c>
      <c r="P28" s="19">
        <f>IF($C28="","",IFERROR(INDEX(Produtos!$G$4:$G$103,MATCH($C28,Produtos!$A$4:$A$103,0)),""))</f>
        <v/>
      </c>
      <c r="Q28" s="19">
        <f>IF($C28="","",IFERROR(INDEX(Produtos!$H$4:$H$103,MATCH($C28,Produtos!$A$4:$A$103,0)),""))</f>
        <v/>
      </c>
      <c r="R28" s="19">
        <f>IF($C28="","",IFERROR(INDEX(Produtos!$I$4:$I$103,MATCH($C28,Produtos!$A$4:$A$103,0)),""))</f>
        <v/>
      </c>
      <c r="S28" s="28">
        <f>IF($C28="","",IFERROR(INDEX(Produtos!$J$4:$J$103,MATCH($C28,Produtos!$A$4:$A$103,0)),""))</f>
        <v/>
      </c>
      <c r="T28" s="27">
        <f>IF($AG28&lt;&gt;"Pronta","",IFERROR(IF($F28&lt;=INDEX(Regras!$C$4:$C$103,MATCH($D28,Regras!$A$4:$A$103,0)),INDEX(Regras!$E$4:$E$103,MATCH($D28,Regras!$A$4:$A$103,0)),IF($F28&gt;=INDEX(Regras!$D$4:$D$103,MATCH($D28,Regras!$A$4:$A$103,0)),INDEX(Regras!$F$4:$F$103,MATCH($D28,Regras!$A$4:$A$103,0)),0)),""))</f>
        <v/>
      </c>
      <c r="U28" s="27">
        <f>IF($AG28&lt;&gt;"Pronta","",IFERROR(IF($G28="",0,IF($G28&lt;=$E28*(1-INDEX(Regras!$G$4:$G$103,MATCH($D28,Regras!$A$4:$A$103,0))),INDEX(Regras!$H$4:$H$103,MATCH($D28,Regras!$A$4:$A$103,0)),IF($G28&gt;=$E28*(1+INDEX(Regras!$G$4:$G$103,MATCH($D28,Regras!$A$4:$A$103,0))),INDEX(Regras!$I$4:$I$103,MATCH($D28,Regras!$A$4:$A$103,0)),0))),""))</f>
        <v/>
      </c>
      <c r="V28" s="27">
        <f>IF($AG28&lt;&gt;"Pronta","",IFERROR(IF($H28/$S28&lt;=INDEX(Regras!$J$4:$J$103,MATCH($D28,Regras!$A$4:$A$103,0)),INDEX(Regras!$L$4:$L$103,MATCH($D28,Regras!$A$4:$A$103,0)),IF($H28/$S28&gt;=INDEX(Regras!$K$4:$K$103,MATCH($D28,Regras!$A$4:$A$103,0)),INDEX(Regras!$M$4:$M$103,MATCH($D28,Regras!$A$4:$A$103,0)),0)),""))</f>
        <v/>
      </c>
      <c r="W28" s="27">
        <f>IF($AG28&lt;&gt;"Pronta","",SUM($T28:$V28))</f>
        <v/>
      </c>
      <c r="X28" s="27">
        <f>IF($AG28&lt;&gt;"Pronta","",IFERROR(MAX(-INDEX(Regras!$N$4:$N$103,MATCH($D28,Regras!$A$4:$A$103,0)),MIN(INDEX(Regras!$N$4:$N$103,MATCH($D28,Regras!$A$4:$A$103,0)),$W28)),""))</f>
        <v/>
      </c>
      <c r="Y28" s="19">
        <f>IF($AG28&lt;&gt;"Pronta","",IFERROR(ROUND($E28*(1+$X28),2),""))</f>
        <v/>
      </c>
      <c r="Z28" s="29">
        <f>IF(OR($AG28&lt;&gt;"Pronta",$Q28="",$R28=""),"",IFERROR(ROUND(MIN($R28,MAX($Q28,$Y28)),2),""))</f>
        <v/>
      </c>
      <c r="AA28" s="27">
        <f>IF(OR($E28="",$Z28=""),"",IFERROR($Z28/$E28-1,""))</f>
        <v/>
      </c>
      <c r="AB28" s="26">
        <f>IF($Z28="","",IF($Y28&lt;$Q28,"Piso",IF($Y28&gt;$R28,"Teto","Nenhuma")))</f>
        <v/>
      </c>
      <c r="AC28" s="21">
        <f>IF($A28="","",IF($AG28&lt;&gt;"Pronta","Aguardando dados válidos",_xlfn.TEXTJOIN(" | ",TRUE,IF($T28&gt;0,"Demanda: aumento",IF($T28&lt;0,"Demanda: redução","")),IF($U28&gt;0,"Concorrência: aumento",IF($U28&lt;0,"Concorrência: redução","")),IF($V28&gt;0,"Estoque: aumento",IF($V28&lt;0,"Estoque: redução","")),IF(ABS($W28-$X28)&gt;0.0000001,"Limite da rodada aplicado",""),IF($AB28="Piso","Piso vigente aplicado",IF($AB28="Teto","Teto aplicado","")),IF(AND($T28=0,$U28=0,$V28=0),"Sem gatilho de reajuste",""))))</f>
        <v/>
      </c>
      <c r="AD28" s="21">
        <f>IF(OR($A28="",$AG28&lt;&gt;"Pronta"),"",_xlfn.TEXTJOIN(" | ",TRUE,IF($E28&lt;$Q28,"Preço atual abaixo do piso",""),IF($E28&gt;$R28,"Preço atual acima do teto",""),IF(AND($N28&gt;0,$E28&gt;0,1-$N28/$E28&lt;$O28),"Margem estimada do preço atual abaixo do mínimo",""),IF($G28="","Preço concorrente não informado",""),IF($AB28="Piso","Recomendação travada no piso",""),IF($AB28="Teto","Recomendação travada no teto","")))</f>
        <v/>
      </c>
      <c r="AE28" s="19">
        <f>IF($AG28&lt;&gt;"Pronta","",IF($I28="Aprovar recomendação",$Z28,IF($I28="Manter preço atual",$E28,IF($I28="Definir manualmente",$J28,""))))</f>
        <v/>
      </c>
      <c r="AF28" s="21">
        <f>IF($A28="","",IF($AG28&lt;&gt;"Pronta","Aguardando correção",IF(OR($I28="",$I28="Pendente"),"Decisão pendente",IF(AND($I28="Definir manualmente",OR($J28="",$J28&lt;=0)),"Informe o preço manual",IF(OR($AE28&lt;$Q28,$AE28&gt;$R28),"Preço final fora do piso/teto","OK")))))</f>
        <v/>
      </c>
      <c r="AG28" s="26">
        <f>IF(COUNTA($A28:$K28)=0,"",IF(OR($A28="",$B28="",$C28="",$D28="",$E28="",$F28="",$H28=""),"Incompleta",IF(OR(COUNTIF($A$5:$A$204,$A28)&gt;1,NOT(ISNUMBER($B28)),COUNTIF(Produtos!$A$4:$A$103,$C28)&lt;&gt;1,IFERROR(INDEX(Produtos!$K$4:$K$103,MATCH($C28,Produtos!$A$4:$A$103,0))&lt;&gt;"Ativo",TRUE),IFERROR(INDEX(Produtos!$L$4:$L$103,MATCH($C28,Produtos!$A$4:$A$103,0))&lt;&gt;"OK",TRUE),COUNTIF(Regras!$A$4:$A$103,$D28)&lt;&gt;1,IFERROR(INDEX(Regras!$O$4:$O$103,MATCH($D28,Regras!$A$4:$A$103,0))&lt;&gt;"Sim",TRUE),IFERROR(INDEX(Regras!$P$4:$P$103,MATCH($D28,Regras!$A$4:$A$103,0))&lt;&gt;"OK",TRUE),NOT(ISNUMBER($E28)),$E28&lt;=0,NOT(ISNUMBER($F28)),$F28&lt;0,$F28&gt;5,NOT(ISNUMBER($H28)),$H28&lt;0,$H28&lt;&gt;INT($H28),AND($G28&lt;&gt;"",OR(NOT(ISNUMBER($G28)),$G28&lt;=0))),"Revisar","Pronta")))</f>
        <v/>
      </c>
    </row>
    <row r="29">
      <c r="A29" s="16" t="n"/>
      <c r="B29" s="24" t="n"/>
      <c r="C29" s="16" t="n"/>
      <c r="D29" s="16" t="n"/>
      <c r="E29" s="17" t="n"/>
      <c r="F29" s="18" t="n"/>
      <c r="G29" s="17" t="n"/>
      <c r="H29" s="20" t="n"/>
      <c r="I29" s="16" t="n"/>
      <c r="J29" s="17" t="n"/>
      <c r="K29" s="25" t="n"/>
      <c r="L29" s="26">
        <f>IF($C29="","",IFERROR(INDEX(Produtos!$B$4:$B$103,MATCH($C29,Produtos!$A$4:$A$103,0)),""))</f>
        <v/>
      </c>
      <c r="M29" s="26">
        <f>IF($C29="","",IFERROR(INDEX(Produtos!$C$4:$C$103,MATCH($C29,Produtos!$A$4:$A$103,0)),""))</f>
        <v/>
      </c>
      <c r="N29" s="19">
        <f>IF($C29="","",IFERROR(INDEX(Produtos!$D$4:$D$103,MATCH($C29,Produtos!$A$4:$A$103,0)),""))</f>
        <v/>
      </c>
      <c r="O29" s="27">
        <f>IF($C29="","",IFERROR(INDEX(Produtos!$E$4:$E$103,MATCH($C29,Produtos!$A$4:$A$103,0)),""))</f>
        <v/>
      </c>
      <c r="P29" s="19">
        <f>IF($C29="","",IFERROR(INDEX(Produtos!$G$4:$G$103,MATCH($C29,Produtos!$A$4:$A$103,0)),""))</f>
        <v/>
      </c>
      <c r="Q29" s="19">
        <f>IF($C29="","",IFERROR(INDEX(Produtos!$H$4:$H$103,MATCH($C29,Produtos!$A$4:$A$103,0)),""))</f>
        <v/>
      </c>
      <c r="R29" s="19">
        <f>IF($C29="","",IFERROR(INDEX(Produtos!$I$4:$I$103,MATCH($C29,Produtos!$A$4:$A$103,0)),""))</f>
        <v/>
      </c>
      <c r="S29" s="28">
        <f>IF($C29="","",IFERROR(INDEX(Produtos!$J$4:$J$103,MATCH($C29,Produtos!$A$4:$A$103,0)),""))</f>
        <v/>
      </c>
      <c r="T29" s="27">
        <f>IF($AG29&lt;&gt;"Pronta","",IFERROR(IF($F29&lt;=INDEX(Regras!$C$4:$C$103,MATCH($D29,Regras!$A$4:$A$103,0)),INDEX(Regras!$E$4:$E$103,MATCH($D29,Regras!$A$4:$A$103,0)),IF($F29&gt;=INDEX(Regras!$D$4:$D$103,MATCH($D29,Regras!$A$4:$A$103,0)),INDEX(Regras!$F$4:$F$103,MATCH($D29,Regras!$A$4:$A$103,0)),0)),""))</f>
        <v/>
      </c>
      <c r="U29" s="27">
        <f>IF($AG29&lt;&gt;"Pronta","",IFERROR(IF($G29="",0,IF($G29&lt;=$E29*(1-INDEX(Regras!$G$4:$G$103,MATCH($D29,Regras!$A$4:$A$103,0))),INDEX(Regras!$H$4:$H$103,MATCH($D29,Regras!$A$4:$A$103,0)),IF($G29&gt;=$E29*(1+INDEX(Regras!$G$4:$G$103,MATCH($D29,Regras!$A$4:$A$103,0))),INDEX(Regras!$I$4:$I$103,MATCH($D29,Regras!$A$4:$A$103,0)),0))),""))</f>
        <v/>
      </c>
      <c r="V29" s="27">
        <f>IF($AG29&lt;&gt;"Pronta","",IFERROR(IF($H29/$S29&lt;=INDEX(Regras!$J$4:$J$103,MATCH($D29,Regras!$A$4:$A$103,0)),INDEX(Regras!$L$4:$L$103,MATCH($D29,Regras!$A$4:$A$103,0)),IF($H29/$S29&gt;=INDEX(Regras!$K$4:$K$103,MATCH($D29,Regras!$A$4:$A$103,0)),INDEX(Regras!$M$4:$M$103,MATCH($D29,Regras!$A$4:$A$103,0)),0)),""))</f>
        <v/>
      </c>
      <c r="W29" s="27">
        <f>IF($AG29&lt;&gt;"Pronta","",SUM($T29:$V29))</f>
        <v/>
      </c>
      <c r="X29" s="27">
        <f>IF($AG29&lt;&gt;"Pronta","",IFERROR(MAX(-INDEX(Regras!$N$4:$N$103,MATCH($D29,Regras!$A$4:$A$103,0)),MIN(INDEX(Regras!$N$4:$N$103,MATCH($D29,Regras!$A$4:$A$103,0)),$W29)),""))</f>
        <v/>
      </c>
      <c r="Y29" s="19">
        <f>IF($AG29&lt;&gt;"Pronta","",IFERROR(ROUND($E29*(1+$X29),2),""))</f>
        <v/>
      </c>
      <c r="Z29" s="29">
        <f>IF(OR($AG29&lt;&gt;"Pronta",$Q29="",$R29=""),"",IFERROR(ROUND(MIN($R29,MAX($Q29,$Y29)),2),""))</f>
        <v/>
      </c>
      <c r="AA29" s="27">
        <f>IF(OR($E29="",$Z29=""),"",IFERROR($Z29/$E29-1,""))</f>
        <v/>
      </c>
      <c r="AB29" s="26">
        <f>IF($Z29="","",IF($Y29&lt;$Q29,"Piso",IF($Y29&gt;$R29,"Teto","Nenhuma")))</f>
        <v/>
      </c>
      <c r="AC29" s="21">
        <f>IF($A29="","",IF($AG29&lt;&gt;"Pronta","Aguardando dados válidos",_xlfn.TEXTJOIN(" | ",TRUE,IF($T29&gt;0,"Demanda: aumento",IF($T29&lt;0,"Demanda: redução","")),IF($U29&gt;0,"Concorrência: aumento",IF($U29&lt;0,"Concorrência: redução","")),IF($V29&gt;0,"Estoque: aumento",IF($V29&lt;0,"Estoque: redução","")),IF(ABS($W29-$X29)&gt;0.0000001,"Limite da rodada aplicado",""),IF($AB29="Piso","Piso vigente aplicado",IF($AB29="Teto","Teto aplicado","")),IF(AND($T29=0,$U29=0,$V29=0),"Sem gatilho de reajuste",""))))</f>
        <v/>
      </c>
      <c r="AD29" s="21">
        <f>IF(OR($A29="",$AG29&lt;&gt;"Pronta"),"",_xlfn.TEXTJOIN(" | ",TRUE,IF($E29&lt;$Q29,"Preço atual abaixo do piso",""),IF($E29&gt;$R29,"Preço atual acima do teto",""),IF(AND($N29&gt;0,$E29&gt;0,1-$N29/$E29&lt;$O29),"Margem estimada do preço atual abaixo do mínimo",""),IF($G29="","Preço concorrente não informado",""),IF($AB29="Piso","Recomendação travada no piso",""),IF($AB29="Teto","Recomendação travada no teto","")))</f>
        <v/>
      </c>
      <c r="AE29" s="19">
        <f>IF($AG29&lt;&gt;"Pronta","",IF($I29="Aprovar recomendação",$Z29,IF($I29="Manter preço atual",$E29,IF($I29="Definir manualmente",$J29,""))))</f>
        <v/>
      </c>
      <c r="AF29" s="21">
        <f>IF($A29="","",IF($AG29&lt;&gt;"Pronta","Aguardando correção",IF(OR($I29="",$I29="Pendente"),"Decisão pendente",IF(AND($I29="Definir manualmente",OR($J29="",$J29&lt;=0)),"Informe o preço manual",IF(OR($AE29&lt;$Q29,$AE29&gt;$R29),"Preço final fora do piso/teto","OK")))))</f>
        <v/>
      </c>
      <c r="AG29" s="26">
        <f>IF(COUNTA($A29:$K29)=0,"",IF(OR($A29="",$B29="",$C29="",$D29="",$E29="",$F29="",$H29=""),"Incompleta",IF(OR(COUNTIF($A$5:$A$204,$A29)&gt;1,NOT(ISNUMBER($B29)),COUNTIF(Produtos!$A$4:$A$103,$C29)&lt;&gt;1,IFERROR(INDEX(Produtos!$K$4:$K$103,MATCH($C29,Produtos!$A$4:$A$103,0))&lt;&gt;"Ativo",TRUE),IFERROR(INDEX(Produtos!$L$4:$L$103,MATCH($C29,Produtos!$A$4:$A$103,0))&lt;&gt;"OK",TRUE),COUNTIF(Regras!$A$4:$A$103,$D29)&lt;&gt;1,IFERROR(INDEX(Regras!$O$4:$O$103,MATCH($D29,Regras!$A$4:$A$103,0))&lt;&gt;"Sim",TRUE),IFERROR(INDEX(Regras!$P$4:$P$103,MATCH($D29,Regras!$A$4:$A$103,0))&lt;&gt;"OK",TRUE),NOT(ISNUMBER($E29)),$E29&lt;=0,NOT(ISNUMBER($F29)),$F29&lt;0,$F29&gt;5,NOT(ISNUMBER($H29)),$H29&lt;0,$H29&lt;&gt;INT($H29),AND($G29&lt;&gt;"",OR(NOT(ISNUMBER($G29)),$G29&lt;=0))),"Revisar","Pronta")))</f>
        <v/>
      </c>
    </row>
    <row r="30">
      <c r="A30" s="16" t="n"/>
      <c r="B30" s="24" t="n"/>
      <c r="C30" s="16" t="n"/>
      <c r="D30" s="16" t="n"/>
      <c r="E30" s="17" t="n"/>
      <c r="F30" s="18" t="n"/>
      <c r="G30" s="17" t="n"/>
      <c r="H30" s="20" t="n"/>
      <c r="I30" s="16" t="n"/>
      <c r="J30" s="17" t="n"/>
      <c r="K30" s="25" t="n"/>
      <c r="L30" s="26">
        <f>IF($C30="","",IFERROR(INDEX(Produtos!$B$4:$B$103,MATCH($C30,Produtos!$A$4:$A$103,0)),""))</f>
        <v/>
      </c>
      <c r="M30" s="26">
        <f>IF($C30="","",IFERROR(INDEX(Produtos!$C$4:$C$103,MATCH($C30,Produtos!$A$4:$A$103,0)),""))</f>
        <v/>
      </c>
      <c r="N30" s="19">
        <f>IF($C30="","",IFERROR(INDEX(Produtos!$D$4:$D$103,MATCH($C30,Produtos!$A$4:$A$103,0)),""))</f>
        <v/>
      </c>
      <c r="O30" s="27">
        <f>IF($C30="","",IFERROR(INDEX(Produtos!$E$4:$E$103,MATCH($C30,Produtos!$A$4:$A$103,0)),""))</f>
        <v/>
      </c>
      <c r="P30" s="19">
        <f>IF($C30="","",IFERROR(INDEX(Produtos!$G$4:$G$103,MATCH($C30,Produtos!$A$4:$A$103,0)),""))</f>
        <v/>
      </c>
      <c r="Q30" s="19">
        <f>IF($C30="","",IFERROR(INDEX(Produtos!$H$4:$H$103,MATCH($C30,Produtos!$A$4:$A$103,0)),""))</f>
        <v/>
      </c>
      <c r="R30" s="19">
        <f>IF($C30="","",IFERROR(INDEX(Produtos!$I$4:$I$103,MATCH($C30,Produtos!$A$4:$A$103,0)),""))</f>
        <v/>
      </c>
      <c r="S30" s="28">
        <f>IF($C30="","",IFERROR(INDEX(Produtos!$J$4:$J$103,MATCH($C30,Produtos!$A$4:$A$103,0)),""))</f>
        <v/>
      </c>
      <c r="T30" s="27">
        <f>IF($AG30&lt;&gt;"Pronta","",IFERROR(IF($F30&lt;=INDEX(Regras!$C$4:$C$103,MATCH($D30,Regras!$A$4:$A$103,0)),INDEX(Regras!$E$4:$E$103,MATCH($D30,Regras!$A$4:$A$103,0)),IF($F30&gt;=INDEX(Regras!$D$4:$D$103,MATCH($D30,Regras!$A$4:$A$103,0)),INDEX(Regras!$F$4:$F$103,MATCH($D30,Regras!$A$4:$A$103,0)),0)),""))</f>
        <v/>
      </c>
      <c r="U30" s="27">
        <f>IF($AG30&lt;&gt;"Pronta","",IFERROR(IF($G30="",0,IF($G30&lt;=$E30*(1-INDEX(Regras!$G$4:$G$103,MATCH($D30,Regras!$A$4:$A$103,0))),INDEX(Regras!$H$4:$H$103,MATCH($D30,Regras!$A$4:$A$103,0)),IF($G30&gt;=$E30*(1+INDEX(Regras!$G$4:$G$103,MATCH($D30,Regras!$A$4:$A$103,0))),INDEX(Regras!$I$4:$I$103,MATCH($D30,Regras!$A$4:$A$103,0)),0))),""))</f>
        <v/>
      </c>
      <c r="V30" s="27">
        <f>IF($AG30&lt;&gt;"Pronta","",IFERROR(IF($H30/$S30&lt;=INDEX(Regras!$J$4:$J$103,MATCH($D30,Regras!$A$4:$A$103,0)),INDEX(Regras!$L$4:$L$103,MATCH($D30,Regras!$A$4:$A$103,0)),IF($H30/$S30&gt;=INDEX(Regras!$K$4:$K$103,MATCH($D30,Regras!$A$4:$A$103,0)),INDEX(Regras!$M$4:$M$103,MATCH($D30,Regras!$A$4:$A$103,0)),0)),""))</f>
        <v/>
      </c>
      <c r="W30" s="27">
        <f>IF($AG30&lt;&gt;"Pronta","",SUM($T30:$V30))</f>
        <v/>
      </c>
      <c r="X30" s="27">
        <f>IF($AG30&lt;&gt;"Pronta","",IFERROR(MAX(-INDEX(Regras!$N$4:$N$103,MATCH($D30,Regras!$A$4:$A$103,0)),MIN(INDEX(Regras!$N$4:$N$103,MATCH($D30,Regras!$A$4:$A$103,0)),$W30)),""))</f>
        <v/>
      </c>
      <c r="Y30" s="19">
        <f>IF($AG30&lt;&gt;"Pronta","",IFERROR(ROUND($E30*(1+$X30),2),""))</f>
        <v/>
      </c>
      <c r="Z30" s="29">
        <f>IF(OR($AG30&lt;&gt;"Pronta",$Q30="",$R30=""),"",IFERROR(ROUND(MIN($R30,MAX($Q30,$Y30)),2),""))</f>
        <v/>
      </c>
      <c r="AA30" s="27">
        <f>IF(OR($E30="",$Z30=""),"",IFERROR($Z30/$E30-1,""))</f>
        <v/>
      </c>
      <c r="AB30" s="26">
        <f>IF($Z30="","",IF($Y30&lt;$Q30,"Piso",IF($Y30&gt;$R30,"Teto","Nenhuma")))</f>
        <v/>
      </c>
      <c r="AC30" s="21">
        <f>IF($A30="","",IF($AG30&lt;&gt;"Pronta","Aguardando dados válidos",_xlfn.TEXTJOIN(" | ",TRUE,IF($T30&gt;0,"Demanda: aumento",IF($T30&lt;0,"Demanda: redução","")),IF($U30&gt;0,"Concorrência: aumento",IF($U30&lt;0,"Concorrência: redução","")),IF($V30&gt;0,"Estoque: aumento",IF($V30&lt;0,"Estoque: redução","")),IF(ABS($W30-$X30)&gt;0.0000001,"Limite da rodada aplicado",""),IF($AB30="Piso","Piso vigente aplicado",IF($AB30="Teto","Teto aplicado","")),IF(AND($T30=0,$U30=0,$V30=0),"Sem gatilho de reajuste",""))))</f>
        <v/>
      </c>
      <c r="AD30" s="21">
        <f>IF(OR($A30="",$AG30&lt;&gt;"Pronta"),"",_xlfn.TEXTJOIN(" | ",TRUE,IF($E30&lt;$Q30,"Preço atual abaixo do piso",""),IF($E30&gt;$R30,"Preço atual acima do teto",""),IF(AND($N30&gt;0,$E30&gt;0,1-$N30/$E30&lt;$O30),"Margem estimada do preço atual abaixo do mínimo",""),IF($G30="","Preço concorrente não informado",""),IF($AB30="Piso","Recomendação travada no piso",""),IF($AB30="Teto","Recomendação travada no teto","")))</f>
        <v/>
      </c>
      <c r="AE30" s="19">
        <f>IF($AG30&lt;&gt;"Pronta","",IF($I30="Aprovar recomendação",$Z30,IF($I30="Manter preço atual",$E30,IF($I30="Definir manualmente",$J30,""))))</f>
        <v/>
      </c>
      <c r="AF30" s="21">
        <f>IF($A30="","",IF($AG30&lt;&gt;"Pronta","Aguardando correção",IF(OR($I30="",$I30="Pendente"),"Decisão pendente",IF(AND($I30="Definir manualmente",OR($J30="",$J30&lt;=0)),"Informe o preço manual",IF(OR($AE30&lt;$Q30,$AE30&gt;$R30),"Preço final fora do piso/teto","OK")))))</f>
        <v/>
      </c>
      <c r="AG30" s="26">
        <f>IF(COUNTA($A30:$K30)=0,"",IF(OR($A30="",$B30="",$C30="",$D30="",$E30="",$F30="",$H30=""),"Incompleta",IF(OR(COUNTIF($A$5:$A$204,$A30)&gt;1,NOT(ISNUMBER($B30)),COUNTIF(Produtos!$A$4:$A$103,$C30)&lt;&gt;1,IFERROR(INDEX(Produtos!$K$4:$K$103,MATCH($C30,Produtos!$A$4:$A$103,0))&lt;&gt;"Ativo",TRUE),IFERROR(INDEX(Produtos!$L$4:$L$103,MATCH($C30,Produtos!$A$4:$A$103,0))&lt;&gt;"OK",TRUE),COUNTIF(Regras!$A$4:$A$103,$D30)&lt;&gt;1,IFERROR(INDEX(Regras!$O$4:$O$103,MATCH($D30,Regras!$A$4:$A$103,0))&lt;&gt;"Sim",TRUE),IFERROR(INDEX(Regras!$P$4:$P$103,MATCH($D30,Regras!$A$4:$A$103,0))&lt;&gt;"OK",TRUE),NOT(ISNUMBER($E30)),$E30&lt;=0,NOT(ISNUMBER($F30)),$F30&lt;0,$F30&gt;5,NOT(ISNUMBER($H30)),$H30&lt;0,$H30&lt;&gt;INT($H30),AND($G30&lt;&gt;"",OR(NOT(ISNUMBER($G30)),$G30&lt;=0))),"Revisar","Pronta")))</f>
        <v/>
      </c>
    </row>
    <row r="31">
      <c r="A31" s="16" t="n"/>
      <c r="B31" s="24" t="n"/>
      <c r="C31" s="16" t="n"/>
      <c r="D31" s="16" t="n"/>
      <c r="E31" s="17" t="n"/>
      <c r="F31" s="18" t="n"/>
      <c r="G31" s="17" t="n"/>
      <c r="H31" s="20" t="n"/>
      <c r="I31" s="16" t="n"/>
      <c r="J31" s="17" t="n"/>
      <c r="K31" s="25" t="n"/>
      <c r="L31" s="26">
        <f>IF($C31="","",IFERROR(INDEX(Produtos!$B$4:$B$103,MATCH($C31,Produtos!$A$4:$A$103,0)),""))</f>
        <v/>
      </c>
      <c r="M31" s="26">
        <f>IF($C31="","",IFERROR(INDEX(Produtos!$C$4:$C$103,MATCH($C31,Produtos!$A$4:$A$103,0)),""))</f>
        <v/>
      </c>
      <c r="N31" s="19">
        <f>IF($C31="","",IFERROR(INDEX(Produtos!$D$4:$D$103,MATCH($C31,Produtos!$A$4:$A$103,0)),""))</f>
        <v/>
      </c>
      <c r="O31" s="27">
        <f>IF($C31="","",IFERROR(INDEX(Produtos!$E$4:$E$103,MATCH($C31,Produtos!$A$4:$A$103,0)),""))</f>
        <v/>
      </c>
      <c r="P31" s="19">
        <f>IF($C31="","",IFERROR(INDEX(Produtos!$G$4:$G$103,MATCH($C31,Produtos!$A$4:$A$103,0)),""))</f>
        <v/>
      </c>
      <c r="Q31" s="19">
        <f>IF($C31="","",IFERROR(INDEX(Produtos!$H$4:$H$103,MATCH($C31,Produtos!$A$4:$A$103,0)),""))</f>
        <v/>
      </c>
      <c r="R31" s="19">
        <f>IF($C31="","",IFERROR(INDEX(Produtos!$I$4:$I$103,MATCH($C31,Produtos!$A$4:$A$103,0)),""))</f>
        <v/>
      </c>
      <c r="S31" s="28">
        <f>IF($C31="","",IFERROR(INDEX(Produtos!$J$4:$J$103,MATCH($C31,Produtos!$A$4:$A$103,0)),""))</f>
        <v/>
      </c>
      <c r="T31" s="27">
        <f>IF($AG31&lt;&gt;"Pronta","",IFERROR(IF($F31&lt;=INDEX(Regras!$C$4:$C$103,MATCH($D31,Regras!$A$4:$A$103,0)),INDEX(Regras!$E$4:$E$103,MATCH($D31,Regras!$A$4:$A$103,0)),IF($F31&gt;=INDEX(Regras!$D$4:$D$103,MATCH($D31,Regras!$A$4:$A$103,0)),INDEX(Regras!$F$4:$F$103,MATCH($D31,Regras!$A$4:$A$103,0)),0)),""))</f>
        <v/>
      </c>
      <c r="U31" s="27">
        <f>IF($AG31&lt;&gt;"Pronta","",IFERROR(IF($G31="",0,IF($G31&lt;=$E31*(1-INDEX(Regras!$G$4:$G$103,MATCH($D31,Regras!$A$4:$A$103,0))),INDEX(Regras!$H$4:$H$103,MATCH($D31,Regras!$A$4:$A$103,0)),IF($G31&gt;=$E31*(1+INDEX(Regras!$G$4:$G$103,MATCH($D31,Regras!$A$4:$A$103,0))),INDEX(Regras!$I$4:$I$103,MATCH($D31,Regras!$A$4:$A$103,0)),0))),""))</f>
        <v/>
      </c>
      <c r="V31" s="27">
        <f>IF($AG31&lt;&gt;"Pronta","",IFERROR(IF($H31/$S31&lt;=INDEX(Regras!$J$4:$J$103,MATCH($D31,Regras!$A$4:$A$103,0)),INDEX(Regras!$L$4:$L$103,MATCH($D31,Regras!$A$4:$A$103,0)),IF($H31/$S31&gt;=INDEX(Regras!$K$4:$K$103,MATCH($D31,Regras!$A$4:$A$103,0)),INDEX(Regras!$M$4:$M$103,MATCH($D31,Regras!$A$4:$A$103,0)),0)),""))</f>
        <v/>
      </c>
      <c r="W31" s="27">
        <f>IF($AG31&lt;&gt;"Pronta","",SUM($T31:$V31))</f>
        <v/>
      </c>
      <c r="X31" s="27">
        <f>IF($AG31&lt;&gt;"Pronta","",IFERROR(MAX(-INDEX(Regras!$N$4:$N$103,MATCH($D31,Regras!$A$4:$A$103,0)),MIN(INDEX(Regras!$N$4:$N$103,MATCH($D31,Regras!$A$4:$A$103,0)),$W31)),""))</f>
        <v/>
      </c>
      <c r="Y31" s="19">
        <f>IF($AG31&lt;&gt;"Pronta","",IFERROR(ROUND($E31*(1+$X31),2),""))</f>
        <v/>
      </c>
      <c r="Z31" s="29">
        <f>IF(OR($AG31&lt;&gt;"Pronta",$Q31="",$R31=""),"",IFERROR(ROUND(MIN($R31,MAX($Q31,$Y31)),2),""))</f>
        <v/>
      </c>
      <c r="AA31" s="27">
        <f>IF(OR($E31="",$Z31=""),"",IFERROR($Z31/$E31-1,""))</f>
        <v/>
      </c>
      <c r="AB31" s="26">
        <f>IF($Z31="","",IF($Y31&lt;$Q31,"Piso",IF($Y31&gt;$R31,"Teto","Nenhuma")))</f>
        <v/>
      </c>
      <c r="AC31" s="21">
        <f>IF($A31="","",IF($AG31&lt;&gt;"Pronta","Aguardando dados válidos",_xlfn.TEXTJOIN(" | ",TRUE,IF($T31&gt;0,"Demanda: aumento",IF($T31&lt;0,"Demanda: redução","")),IF($U31&gt;0,"Concorrência: aumento",IF($U31&lt;0,"Concorrência: redução","")),IF($V31&gt;0,"Estoque: aumento",IF($V31&lt;0,"Estoque: redução","")),IF(ABS($W31-$X31)&gt;0.0000001,"Limite da rodada aplicado",""),IF($AB31="Piso","Piso vigente aplicado",IF($AB31="Teto","Teto aplicado","")),IF(AND($T31=0,$U31=0,$V31=0),"Sem gatilho de reajuste",""))))</f>
        <v/>
      </c>
      <c r="AD31" s="21">
        <f>IF(OR($A31="",$AG31&lt;&gt;"Pronta"),"",_xlfn.TEXTJOIN(" | ",TRUE,IF($E31&lt;$Q31,"Preço atual abaixo do piso",""),IF($E31&gt;$R31,"Preço atual acima do teto",""),IF(AND($N31&gt;0,$E31&gt;0,1-$N31/$E31&lt;$O31),"Margem estimada do preço atual abaixo do mínimo",""),IF($G31="","Preço concorrente não informado",""),IF($AB31="Piso","Recomendação travada no piso",""),IF($AB31="Teto","Recomendação travada no teto","")))</f>
        <v/>
      </c>
      <c r="AE31" s="19">
        <f>IF($AG31&lt;&gt;"Pronta","",IF($I31="Aprovar recomendação",$Z31,IF($I31="Manter preço atual",$E31,IF($I31="Definir manualmente",$J31,""))))</f>
        <v/>
      </c>
      <c r="AF31" s="21">
        <f>IF($A31="","",IF($AG31&lt;&gt;"Pronta","Aguardando correção",IF(OR($I31="",$I31="Pendente"),"Decisão pendente",IF(AND($I31="Definir manualmente",OR($J31="",$J31&lt;=0)),"Informe o preço manual",IF(OR($AE31&lt;$Q31,$AE31&gt;$R31),"Preço final fora do piso/teto","OK")))))</f>
        <v/>
      </c>
      <c r="AG31" s="26">
        <f>IF(COUNTA($A31:$K31)=0,"",IF(OR($A31="",$B31="",$C31="",$D31="",$E31="",$F31="",$H31=""),"Incompleta",IF(OR(COUNTIF($A$5:$A$204,$A31)&gt;1,NOT(ISNUMBER($B31)),COUNTIF(Produtos!$A$4:$A$103,$C31)&lt;&gt;1,IFERROR(INDEX(Produtos!$K$4:$K$103,MATCH($C31,Produtos!$A$4:$A$103,0))&lt;&gt;"Ativo",TRUE),IFERROR(INDEX(Produtos!$L$4:$L$103,MATCH($C31,Produtos!$A$4:$A$103,0))&lt;&gt;"OK",TRUE),COUNTIF(Regras!$A$4:$A$103,$D31)&lt;&gt;1,IFERROR(INDEX(Regras!$O$4:$O$103,MATCH($D31,Regras!$A$4:$A$103,0))&lt;&gt;"Sim",TRUE),IFERROR(INDEX(Regras!$P$4:$P$103,MATCH($D31,Regras!$A$4:$A$103,0))&lt;&gt;"OK",TRUE),NOT(ISNUMBER($E31)),$E31&lt;=0,NOT(ISNUMBER($F31)),$F31&lt;0,$F31&gt;5,NOT(ISNUMBER($H31)),$H31&lt;0,$H31&lt;&gt;INT($H31),AND($G31&lt;&gt;"",OR(NOT(ISNUMBER($G31)),$G31&lt;=0))),"Revisar","Pronta")))</f>
        <v/>
      </c>
    </row>
    <row r="32">
      <c r="A32" s="16" t="n"/>
      <c r="B32" s="24" t="n"/>
      <c r="C32" s="16" t="n"/>
      <c r="D32" s="16" t="n"/>
      <c r="E32" s="17" t="n"/>
      <c r="F32" s="18" t="n"/>
      <c r="G32" s="17" t="n"/>
      <c r="H32" s="20" t="n"/>
      <c r="I32" s="16" t="n"/>
      <c r="J32" s="17" t="n"/>
      <c r="K32" s="25" t="n"/>
      <c r="L32" s="26">
        <f>IF($C32="","",IFERROR(INDEX(Produtos!$B$4:$B$103,MATCH($C32,Produtos!$A$4:$A$103,0)),""))</f>
        <v/>
      </c>
      <c r="M32" s="26">
        <f>IF($C32="","",IFERROR(INDEX(Produtos!$C$4:$C$103,MATCH($C32,Produtos!$A$4:$A$103,0)),""))</f>
        <v/>
      </c>
      <c r="N32" s="19">
        <f>IF($C32="","",IFERROR(INDEX(Produtos!$D$4:$D$103,MATCH($C32,Produtos!$A$4:$A$103,0)),""))</f>
        <v/>
      </c>
      <c r="O32" s="27">
        <f>IF($C32="","",IFERROR(INDEX(Produtos!$E$4:$E$103,MATCH($C32,Produtos!$A$4:$A$103,0)),""))</f>
        <v/>
      </c>
      <c r="P32" s="19">
        <f>IF($C32="","",IFERROR(INDEX(Produtos!$G$4:$G$103,MATCH($C32,Produtos!$A$4:$A$103,0)),""))</f>
        <v/>
      </c>
      <c r="Q32" s="19">
        <f>IF($C32="","",IFERROR(INDEX(Produtos!$H$4:$H$103,MATCH($C32,Produtos!$A$4:$A$103,0)),""))</f>
        <v/>
      </c>
      <c r="R32" s="19">
        <f>IF($C32="","",IFERROR(INDEX(Produtos!$I$4:$I$103,MATCH($C32,Produtos!$A$4:$A$103,0)),""))</f>
        <v/>
      </c>
      <c r="S32" s="28">
        <f>IF($C32="","",IFERROR(INDEX(Produtos!$J$4:$J$103,MATCH($C32,Produtos!$A$4:$A$103,0)),""))</f>
        <v/>
      </c>
      <c r="T32" s="27">
        <f>IF($AG32&lt;&gt;"Pronta","",IFERROR(IF($F32&lt;=INDEX(Regras!$C$4:$C$103,MATCH($D32,Regras!$A$4:$A$103,0)),INDEX(Regras!$E$4:$E$103,MATCH($D32,Regras!$A$4:$A$103,0)),IF($F32&gt;=INDEX(Regras!$D$4:$D$103,MATCH($D32,Regras!$A$4:$A$103,0)),INDEX(Regras!$F$4:$F$103,MATCH($D32,Regras!$A$4:$A$103,0)),0)),""))</f>
        <v/>
      </c>
      <c r="U32" s="27">
        <f>IF($AG32&lt;&gt;"Pronta","",IFERROR(IF($G32="",0,IF($G32&lt;=$E32*(1-INDEX(Regras!$G$4:$G$103,MATCH($D32,Regras!$A$4:$A$103,0))),INDEX(Regras!$H$4:$H$103,MATCH($D32,Regras!$A$4:$A$103,0)),IF($G32&gt;=$E32*(1+INDEX(Regras!$G$4:$G$103,MATCH($D32,Regras!$A$4:$A$103,0))),INDEX(Regras!$I$4:$I$103,MATCH($D32,Regras!$A$4:$A$103,0)),0))),""))</f>
        <v/>
      </c>
      <c r="V32" s="27">
        <f>IF($AG32&lt;&gt;"Pronta","",IFERROR(IF($H32/$S32&lt;=INDEX(Regras!$J$4:$J$103,MATCH($D32,Regras!$A$4:$A$103,0)),INDEX(Regras!$L$4:$L$103,MATCH($D32,Regras!$A$4:$A$103,0)),IF($H32/$S32&gt;=INDEX(Regras!$K$4:$K$103,MATCH($D32,Regras!$A$4:$A$103,0)),INDEX(Regras!$M$4:$M$103,MATCH($D32,Regras!$A$4:$A$103,0)),0)),""))</f>
        <v/>
      </c>
      <c r="W32" s="27">
        <f>IF($AG32&lt;&gt;"Pronta","",SUM($T32:$V32))</f>
        <v/>
      </c>
      <c r="X32" s="27">
        <f>IF($AG32&lt;&gt;"Pronta","",IFERROR(MAX(-INDEX(Regras!$N$4:$N$103,MATCH($D32,Regras!$A$4:$A$103,0)),MIN(INDEX(Regras!$N$4:$N$103,MATCH($D32,Regras!$A$4:$A$103,0)),$W32)),""))</f>
        <v/>
      </c>
      <c r="Y32" s="19">
        <f>IF($AG32&lt;&gt;"Pronta","",IFERROR(ROUND($E32*(1+$X32),2),""))</f>
        <v/>
      </c>
      <c r="Z32" s="29">
        <f>IF(OR($AG32&lt;&gt;"Pronta",$Q32="",$R32=""),"",IFERROR(ROUND(MIN($R32,MAX($Q32,$Y32)),2),""))</f>
        <v/>
      </c>
      <c r="AA32" s="27">
        <f>IF(OR($E32="",$Z32=""),"",IFERROR($Z32/$E32-1,""))</f>
        <v/>
      </c>
      <c r="AB32" s="26">
        <f>IF($Z32="","",IF($Y32&lt;$Q32,"Piso",IF($Y32&gt;$R32,"Teto","Nenhuma")))</f>
        <v/>
      </c>
      <c r="AC32" s="21">
        <f>IF($A32="","",IF($AG32&lt;&gt;"Pronta","Aguardando dados válidos",_xlfn.TEXTJOIN(" | ",TRUE,IF($T32&gt;0,"Demanda: aumento",IF($T32&lt;0,"Demanda: redução","")),IF($U32&gt;0,"Concorrência: aumento",IF($U32&lt;0,"Concorrência: redução","")),IF($V32&gt;0,"Estoque: aumento",IF($V32&lt;0,"Estoque: redução","")),IF(ABS($W32-$X32)&gt;0.0000001,"Limite da rodada aplicado",""),IF($AB32="Piso","Piso vigente aplicado",IF($AB32="Teto","Teto aplicado","")),IF(AND($T32=0,$U32=0,$V32=0),"Sem gatilho de reajuste",""))))</f>
        <v/>
      </c>
      <c r="AD32" s="21">
        <f>IF(OR($A32="",$AG32&lt;&gt;"Pronta"),"",_xlfn.TEXTJOIN(" | ",TRUE,IF($E32&lt;$Q32,"Preço atual abaixo do piso",""),IF($E32&gt;$R32,"Preço atual acima do teto",""),IF(AND($N32&gt;0,$E32&gt;0,1-$N32/$E32&lt;$O32),"Margem estimada do preço atual abaixo do mínimo",""),IF($G32="","Preço concorrente não informado",""),IF($AB32="Piso","Recomendação travada no piso",""),IF($AB32="Teto","Recomendação travada no teto","")))</f>
        <v/>
      </c>
      <c r="AE32" s="19">
        <f>IF($AG32&lt;&gt;"Pronta","",IF($I32="Aprovar recomendação",$Z32,IF($I32="Manter preço atual",$E32,IF($I32="Definir manualmente",$J32,""))))</f>
        <v/>
      </c>
      <c r="AF32" s="21">
        <f>IF($A32="","",IF($AG32&lt;&gt;"Pronta","Aguardando correção",IF(OR($I32="",$I32="Pendente"),"Decisão pendente",IF(AND($I32="Definir manualmente",OR($J32="",$J32&lt;=0)),"Informe o preço manual",IF(OR($AE32&lt;$Q32,$AE32&gt;$R32),"Preço final fora do piso/teto","OK")))))</f>
        <v/>
      </c>
      <c r="AG32" s="26">
        <f>IF(COUNTA($A32:$K32)=0,"",IF(OR($A32="",$B32="",$C32="",$D32="",$E32="",$F32="",$H32=""),"Incompleta",IF(OR(COUNTIF($A$5:$A$204,$A32)&gt;1,NOT(ISNUMBER($B32)),COUNTIF(Produtos!$A$4:$A$103,$C32)&lt;&gt;1,IFERROR(INDEX(Produtos!$K$4:$K$103,MATCH($C32,Produtos!$A$4:$A$103,0))&lt;&gt;"Ativo",TRUE),IFERROR(INDEX(Produtos!$L$4:$L$103,MATCH($C32,Produtos!$A$4:$A$103,0))&lt;&gt;"OK",TRUE),COUNTIF(Regras!$A$4:$A$103,$D32)&lt;&gt;1,IFERROR(INDEX(Regras!$O$4:$O$103,MATCH($D32,Regras!$A$4:$A$103,0))&lt;&gt;"Sim",TRUE),IFERROR(INDEX(Regras!$P$4:$P$103,MATCH($D32,Regras!$A$4:$A$103,0))&lt;&gt;"OK",TRUE),NOT(ISNUMBER($E32)),$E32&lt;=0,NOT(ISNUMBER($F32)),$F32&lt;0,$F32&gt;5,NOT(ISNUMBER($H32)),$H32&lt;0,$H32&lt;&gt;INT($H32),AND($G32&lt;&gt;"",OR(NOT(ISNUMBER($G32)),$G32&lt;=0))),"Revisar","Pronta")))</f>
        <v/>
      </c>
    </row>
    <row r="33">
      <c r="A33" s="16" t="n"/>
      <c r="B33" s="24" t="n"/>
      <c r="C33" s="16" t="n"/>
      <c r="D33" s="16" t="n"/>
      <c r="E33" s="17" t="n"/>
      <c r="F33" s="18" t="n"/>
      <c r="G33" s="17" t="n"/>
      <c r="H33" s="20" t="n"/>
      <c r="I33" s="16" t="n"/>
      <c r="J33" s="17" t="n"/>
      <c r="K33" s="25" t="n"/>
      <c r="L33" s="26">
        <f>IF($C33="","",IFERROR(INDEX(Produtos!$B$4:$B$103,MATCH($C33,Produtos!$A$4:$A$103,0)),""))</f>
        <v/>
      </c>
      <c r="M33" s="26">
        <f>IF($C33="","",IFERROR(INDEX(Produtos!$C$4:$C$103,MATCH($C33,Produtos!$A$4:$A$103,0)),""))</f>
        <v/>
      </c>
      <c r="N33" s="19">
        <f>IF($C33="","",IFERROR(INDEX(Produtos!$D$4:$D$103,MATCH($C33,Produtos!$A$4:$A$103,0)),""))</f>
        <v/>
      </c>
      <c r="O33" s="27">
        <f>IF($C33="","",IFERROR(INDEX(Produtos!$E$4:$E$103,MATCH($C33,Produtos!$A$4:$A$103,0)),""))</f>
        <v/>
      </c>
      <c r="P33" s="19">
        <f>IF($C33="","",IFERROR(INDEX(Produtos!$G$4:$G$103,MATCH($C33,Produtos!$A$4:$A$103,0)),""))</f>
        <v/>
      </c>
      <c r="Q33" s="19">
        <f>IF($C33="","",IFERROR(INDEX(Produtos!$H$4:$H$103,MATCH($C33,Produtos!$A$4:$A$103,0)),""))</f>
        <v/>
      </c>
      <c r="R33" s="19">
        <f>IF($C33="","",IFERROR(INDEX(Produtos!$I$4:$I$103,MATCH($C33,Produtos!$A$4:$A$103,0)),""))</f>
        <v/>
      </c>
      <c r="S33" s="28">
        <f>IF($C33="","",IFERROR(INDEX(Produtos!$J$4:$J$103,MATCH($C33,Produtos!$A$4:$A$103,0)),""))</f>
        <v/>
      </c>
      <c r="T33" s="27">
        <f>IF($AG33&lt;&gt;"Pronta","",IFERROR(IF($F33&lt;=INDEX(Regras!$C$4:$C$103,MATCH($D33,Regras!$A$4:$A$103,0)),INDEX(Regras!$E$4:$E$103,MATCH($D33,Regras!$A$4:$A$103,0)),IF($F33&gt;=INDEX(Regras!$D$4:$D$103,MATCH($D33,Regras!$A$4:$A$103,0)),INDEX(Regras!$F$4:$F$103,MATCH($D33,Regras!$A$4:$A$103,0)),0)),""))</f>
        <v/>
      </c>
      <c r="U33" s="27">
        <f>IF($AG33&lt;&gt;"Pronta","",IFERROR(IF($G33="",0,IF($G33&lt;=$E33*(1-INDEX(Regras!$G$4:$G$103,MATCH($D33,Regras!$A$4:$A$103,0))),INDEX(Regras!$H$4:$H$103,MATCH($D33,Regras!$A$4:$A$103,0)),IF($G33&gt;=$E33*(1+INDEX(Regras!$G$4:$G$103,MATCH($D33,Regras!$A$4:$A$103,0))),INDEX(Regras!$I$4:$I$103,MATCH($D33,Regras!$A$4:$A$103,0)),0))),""))</f>
        <v/>
      </c>
      <c r="V33" s="27">
        <f>IF($AG33&lt;&gt;"Pronta","",IFERROR(IF($H33/$S33&lt;=INDEX(Regras!$J$4:$J$103,MATCH($D33,Regras!$A$4:$A$103,0)),INDEX(Regras!$L$4:$L$103,MATCH($D33,Regras!$A$4:$A$103,0)),IF($H33/$S33&gt;=INDEX(Regras!$K$4:$K$103,MATCH($D33,Regras!$A$4:$A$103,0)),INDEX(Regras!$M$4:$M$103,MATCH($D33,Regras!$A$4:$A$103,0)),0)),""))</f>
        <v/>
      </c>
      <c r="W33" s="27">
        <f>IF($AG33&lt;&gt;"Pronta","",SUM($T33:$V33))</f>
        <v/>
      </c>
      <c r="X33" s="27">
        <f>IF($AG33&lt;&gt;"Pronta","",IFERROR(MAX(-INDEX(Regras!$N$4:$N$103,MATCH($D33,Regras!$A$4:$A$103,0)),MIN(INDEX(Regras!$N$4:$N$103,MATCH($D33,Regras!$A$4:$A$103,0)),$W33)),""))</f>
        <v/>
      </c>
      <c r="Y33" s="19">
        <f>IF($AG33&lt;&gt;"Pronta","",IFERROR(ROUND($E33*(1+$X33),2),""))</f>
        <v/>
      </c>
      <c r="Z33" s="29">
        <f>IF(OR($AG33&lt;&gt;"Pronta",$Q33="",$R33=""),"",IFERROR(ROUND(MIN($R33,MAX($Q33,$Y33)),2),""))</f>
        <v/>
      </c>
      <c r="AA33" s="27">
        <f>IF(OR($E33="",$Z33=""),"",IFERROR($Z33/$E33-1,""))</f>
        <v/>
      </c>
      <c r="AB33" s="26">
        <f>IF($Z33="","",IF($Y33&lt;$Q33,"Piso",IF($Y33&gt;$R33,"Teto","Nenhuma")))</f>
        <v/>
      </c>
      <c r="AC33" s="21">
        <f>IF($A33="","",IF($AG33&lt;&gt;"Pronta","Aguardando dados válidos",_xlfn.TEXTJOIN(" | ",TRUE,IF($T33&gt;0,"Demanda: aumento",IF($T33&lt;0,"Demanda: redução","")),IF($U33&gt;0,"Concorrência: aumento",IF($U33&lt;0,"Concorrência: redução","")),IF($V33&gt;0,"Estoque: aumento",IF($V33&lt;0,"Estoque: redução","")),IF(ABS($W33-$X33)&gt;0.0000001,"Limite da rodada aplicado",""),IF($AB33="Piso","Piso vigente aplicado",IF($AB33="Teto","Teto aplicado","")),IF(AND($T33=0,$U33=0,$V33=0),"Sem gatilho de reajuste",""))))</f>
        <v/>
      </c>
      <c r="AD33" s="21">
        <f>IF(OR($A33="",$AG33&lt;&gt;"Pronta"),"",_xlfn.TEXTJOIN(" | ",TRUE,IF($E33&lt;$Q33,"Preço atual abaixo do piso",""),IF($E33&gt;$R33,"Preço atual acima do teto",""),IF(AND($N33&gt;0,$E33&gt;0,1-$N33/$E33&lt;$O33),"Margem estimada do preço atual abaixo do mínimo",""),IF($G33="","Preço concorrente não informado",""),IF($AB33="Piso","Recomendação travada no piso",""),IF($AB33="Teto","Recomendação travada no teto","")))</f>
        <v/>
      </c>
      <c r="AE33" s="19">
        <f>IF($AG33&lt;&gt;"Pronta","",IF($I33="Aprovar recomendação",$Z33,IF($I33="Manter preço atual",$E33,IF($I33="Definir manualmente",$J33,""))))</f>
        <v/>
      </c>
      <c r="AF33" s="21">
        <f>IF($A33="","",IF($AG33&lt;&gt;"Pronta","Aguardando correção",IF(OR($I33="",$I33="Pendente"),"Decisão pendente",IF(AND($I33="Definir manualmente",OR($J33="",$J33&lt;=0)),"Informe o preço manual",IF(OR($AE33&lt;$Q33,$AE33&gt;$R33),"Preço final fora do piso/teto","OK")))))</f>
        <v/>
      </c>
      <c r="AG33" s="26">
        <f>IF(COUNTA($A33:$K33)=0,"",IF(OR($A33="",$B33="",$C33="",$D33="",$E33="",$F33="",$H33=""),"Incompleta",IF(OR(COUNTIF($A$5:$A$204,$A33)&gt;1,NOT(ISNUMBER($B33)),COUNTIF(Produtos!$A$4:$A$103,$C33)&lt;&gt;1,IFERROR(INDEX(Produtos!$K$4:$K$103,MATCH($C33,Produtos!$A$4:$A$103,0))&lt;&gt;"Ativo",TRUE),IFERROR(INDEX(Produtos!$L$4:$L$103,MATCH($C33,Produtos!$A$4:$A$103,0))&lt;&gt;"OK",TRUE),COUNTIF(Regras!$A$4:$A$103,$D33)&lt;&gt;1,IFERROR(INDEX(Regras!$O$4:$O$103,MATCH($D33,Regras!$A$4:$A$103,0))&lt;&gt;"Sim",TRUE),IFERROR(INDEX(Regras!$P$4:$P$103,MATCH($D33,Regras!$A$4:$A$103,0))&lt;&gt;"OK",TRUE),NOT(ISNUMBER($E33)),$E33&lt;=0,NOT(ISNUMBER($F33)),$F33&lt;0,$F33&gt;5,NOT(ISNUMBER($H33)),$H33&lt;0,$H33&lt;&gt;INT($H33),AND($G33&lt;&gt;"",OR(NOT(ISNUMBER($G33)),$G33&lt;=0))),"Revisar","Pronta")))</f>
        <v/>
      </c>
    </row>
    <row r="34">
      <c r="A34" s="16" t="n"/>
      <c r="B34" s="24" t="n"/>
      <c r="C34" s="16" t="n"/>
      <c r="D34" s="16" t="n"/>
      <c r="E34" s="17" t="n"/>
      <c r="F34" s="18" t="n"/>
      <c r="G34" s="17" t="n"/>
      <c r="H34" s="20" t="n"/>
      <c r="I34" s="16" t="n"/>
      <c r="J34" s="17" t="n"/>
      <c r="K34" s="25" t="n"/>
      <c r="L34" s="26">
        <f>IF($C34="","",IFERROR(INDEX(Produtos!$B$4:$B$103,MATCH($C34,Produtos!$A$4:$A$103,0)),""))</f>
        <v/>
      </c>
      <c r="M34" s="26">
        <f>IF($C34="","",IFERROR(INDEX(Produtos!$C$4:$C$103,MATCH($C34,Produtos!$A$4:$A$103,0)),""))</f>
        <v/>
      </c>
      <c r="N34" s="19">
        <f>IF($C34="","",IFERROR(INDEX(Produtos!$D$4:$D$103,MATCH($C34,Produtos!$A$4:$A$103,0)),""))</f>
        <v/>
      </c>
      <c r="O34" s="27">
        <f>IF($C34="","",IFERROR(INDEX(Produtos!$E$4:$E$103,MATCH($C34,Produtos!$A$4:$A$103,0)),""))</f>
        <v/>
      </c>
      <c r="P34" s="19">
        <f>IF($C34="","",IFERROR(INDEX(Produtos!$G$4:$G$103,MATCH($C34,Produtos!$A$4:$A$103,0)),""))</f>
        <v/>
      </c>
      <c r="Q34" s="19">
        <f>IF($C34="","",IFERROR(INDEX(Produtos!$H$4:$H$103,MATCH($C34,Produtos!$A$4:$A$103,0)),""))</f>
        <v/>
      </c>
      <c r="R34" s="19">
        <f>IF($C34="","",IFERROR(INDEX(Produtos!$I$4:$I$103,MATCH($C34,Produtos!$A$4:$A$103,0)),""))</f>
        <v/>
      </c>
      <c r="S34" s="28">
        <f>IF($C34="","",IFERROR(INDEX(Produtos!$J$4:$J$103,MATCH($C34,Produtos!$A$4:$A$103,0)),""))</f>
        <v/>
      </c>
      <c r="T34" s="27">
        <f>IF($AG34&lt;&gt;"Pronta","",IFERROR(IF($F34&lt;=INDEX(Regras!$C$4:$C$103,MATCH($D34,Regras!$A$4:$A$103,0)),INDEX(Regras!$E$4:$E$103,MATCH($D34,Regras!$A$4:$A$103,0)),IF($F34&gt;=INDEX(Regras!$D$4:$D$103,MATCH($D34,Regras!$A$4:$A$103,0)),INDEX(Regras!$F$4:$F$103,MATCH($D34,Regras!$A$4:$A$103,0)),0)),""))</f>
        <v/>
      </c>
      <c r="U34" s="27">
        <f>IF($AG34&lt;&gt;"Pronta","",IFERROR(IF($G34="",0,IF($G34&lt;=$E34*(1-INDEX(Regras!$G$4:$G$103,MATCH($D34,Regras!$A$4:$A$103,0))),INDEX(Regras!$H$4:$H$103,MATCH($D34,Regras!$A$4:$A$103,0)),IF($G34&gt;=$E34*(1+INDEX(Regras!$G$4:$G$103,MATCH($D34,Regras!$A$4:$A$103,0))),INDEX(Regras!$I$4:$I$103,MATCH($D34,Regras!$A$4:$A$103,0)),0))),""))</f>
        <v/>
      </c>
      <c r="V34" s="27">
        <f>IF($AG34&lt;&gt;"Pronta","",IFERROR(IF($H34/$S34&lt;=INDEX(Regras!$J$4:$J$103,MATCH($D34,Regras!$A$4:$A$103,0)),INDEX(Regras!$L$4:$L$103,MATCH($D34,Regras!$A$4:$A$103,0)),IF($H34/$S34&gt;=INDEX(Regras!$K$4:$K$103,MATCH($D34,Regras!$A$4:$A$103,0)),INDEX(Regras!$M$4:$M$103,MATCH($D34,Regras!$A$4:$A$103,0)),0)),""))</f>
        <v/>
      </c>
      <c r="W34" s="27">
        <f>IF($AG34&lt;&gt;"Pronta","",SUM($T34:$V34))</f>
        <v/>
      </c>
      <c r="X34" s="27">
        <f>IF($AG34&lt;&gt;"Pronta","",IFERROR(MAX(-INDEX(Regras!$N$4:$N$103,MATCH($D34,Regras!$A$4:$A$103,0)),MIN(INDEX(Regras!$N$4:$N$103,MATCH($D34,Regras!$A$4:$A$103,0)),$W34)),""))</f>
        <v/>
      </c>
      <c r="Y34" s="19">
        <f>IF($AG34&lt;&gt;"Pronta","",IFERROR(ROUND($E34*(1+$X34),2),""))</f>
        <v/>
      </c>
      <c r="Z34" s="29">
        <f>IF(OR($AG34&lt;&gt;"Pronta",$Q34="",$R34=""),"",IFERROR(ROUND(MIN($R34,MAX($Q34,$Y34)),2),""))</f>
        <v/>
      </c>
      <c r="AA34" s="27">
        <f>IF(OR($E34="",$Z34=""),"",IFERROR($Z34/$E34-1,""))</f>
        <v/>
      </c>
      <c r="AB34" s="26">
        <f>IF($Z34="","",IF($Y34&lt;$Q34,"Piso",IF($Y34&gt;$R34,"Teto","Nenhuma")))</f>
        <v/>
      </c>
      <c r="AC34" s="21">
        <f>IF($A34="","",IF($AG34&lt;&gt;"Pronta","Aguardando dados válidos",_xlfn.TEXTJOIN(" | ",TRUE,IF($T34&gt;0,"Demanda: aumento",IF($T34&lt;0,"Demanda: redução","")),IF($U34&gt;0,"Concorrência: aumento",IF($U34&lt;0,"Concorrência: redução","")),IF($V34&gt;0,"Estoque: aumento",IF($V34&lt;0,"Estoque: redução","")),IF(ABS($W34-$X34)&gt;0.0000001,"Limite da rodada aplicado",""),IF($AB34="Piso","Piso vigente aplicado",IF($AB34="Teto","Teto aplicado","")),IF(AND($T34=0,$U34=0,$V34=0),"Sem gatilho de reajuste",""))))</f>
        <v/>
      </c>
      <c r="AD34" s="21">
        <f>IF(OR($A34="",$AG34&lt;&gt;"Pronta"),"",_xlfn.TEXTJOIN(" | ",TRUE,IF($E34&lt;$Q34,"Preço atual abaixo do piso",""),IF($E34&gt;$R34,"Preço atual acima do teto",""),IF(AND($N34&gt;0,$E34&gt;0,1-$N34/$E34&lt;$O34),"Margem estimada do preço atual abaixo do mínimo",""),IF($G34="","Preço concorrente não informado",""),IF($AB34="Piso","Recomendação travada no piso",""),IF($AB34="Teto","Recomendação travada no teto","")))</f>
        <v/>
      </c>
      <c r="AE34" s="19">
        <f>IF($AG34&lt;&gt;"Pronta","",IF($I34="Aprovar recomendação",$Z34,IF($I34="Manter preço atual",$E34,IF($I34="Definir manualmente",$J34,""))))</f>
        <v/>
      </c>
      <c r="AF34" s="21">
        <f>IF($A34="","",IF($AG34&lt;&gt;"Pronta","Aguardando correção",IF(OR($I34="",$I34="Pendente"),"Decisão pendente",IF(AND($I34="Definir manualmente",OR($J34="",$J34&lt;=0)),"Informe o preço manual",IF(OR($AE34&lt;$Q34,$AE34&gt;$R34),"Preço final fora do piso/teto","OK")))))</f>
        <v/>
      </c>
      <c r="AG34" s="26">
        <f>IF(COUNTA($A34:$K34)=0,"",IF(OR($A34="",$B34="",$C34="",$D34="",$E34="",$F34="",$H34=""),"Incompleta",IF(OR(COUNTIF($A$5:$A$204,$A34)&gt;1,NOT(ISNUMBER($B34)),COUNTIF(Produtos!$A$4:$A$103,$C34)&lt;&gt;1,IFERROR(INDEX(Produtos!$K$4:$K$103,MATCH($C34,Produtos!$A$4:$A$103,0))&lt;&gt;"Ativo",TRUE),IFERROR(INDEX(Produtos!$L$4:$L$103,MATCH($C34,Produtos!$A$4:$A$103,0))&lt;&gt;"OK",TRUE),COUNTIF(Regras!$A$4:$A$103,$D34)&lt;&gt;1,IFERROR(INDEX(Regras!$O$4:$O$103,MATCH($D34,Regras!$A$4:$A$103,0))&lt;&gt;"Sim",TRUE),IFERROR(INDEX(Regras!$P$4:$P$103,MATCH($D34,Regras!$A$4:$A$103,0))&lt;&gt;"OK",TRUE),NOT(ISNUMBER($E34)),$E34&lt;=0,NOT(ISNUMBER($F34)),$F34&lt;0,$F34&gt;5,NOT(ISNUMBER($H34)),$H34&lt;0,$H34&lt;&gt;INT($H34),AND($G34&lt;&gt;"",OR(NOT(ISNUMBER($G34)),$G34&lt;=0))),"Revisar","Pronta")))</f>
        <v/>
      </c>
    </row>
    <row r="35">
      <c r="A35" s="16" t="n"/>
      <c r="B35" s="24" t="n"/>
      <c r="C35" s="16" t="n"/>
      <c r="D35" s="16" t="n"/>
      <c r="E35" s="17" t="n"/>
      <c r="F35" s="18" t="n"/>
      <c r="G35" s="17" t="n"/>
      <c r="H35" s="20" t="n"/>
      <c r="I35" s="16" t="n"/>
      <c r="J35" s="17" t="n"/>
      <c r="K35" s="25" t="n"/>
      <c r="L35" s="26">
        <f>IF($C35="","",IFERROR(INDEX(Produtos!$B$4:$B$103,MATCH($C35,Produtos!$A$4:$A$103,0)),""))</f>
        <v/>
      </c>
      <c r="M35" s="26">
        <f>IF($C35="","",IFERROR(INDEX(Produtos!$C$4:$C$103,MATCH($C35,Produtos!$A$4:$A$103,0)),""))</f>
        <v/>
      </c>
      <c r="N35" s="19">
        <f>IF($C35="","",IFERROR(INDEX(Produtos!$D$4:$D$103,MATCH($C35,Produtos!$A$4:$A$103,0)),""))</f>
        <v/>
      </c>
      <c r="O35" s="27">
        <f>IF($C35="","",IFERROR(INDEX(Produtos!$E$4:$E$103,MATCH($C35,Produtos!$A$4:$A$103,0)),""))</f>
        <v/>
      </c>
      <c r="P35" s="19">
        <f>IF($C35="","",IFERROR(INDEX(Produtos!$G$4:$G$103,MATCH($C35,Produtos!$A$4:$A$103,0)),""))</f>
        <v/>
      </c>
      <c r="Q35" s="19">
        <f>IF($C35="","",IFERROR(INDEX(Produtos!$H$4:$H$103,MATCH($C35,Produtos!$A$4:$A$103,0)),""))</f>
        <v/>
      </c>
      <c r="R35" s="19">
        <f>IF($C35="","",IFERROR(INDEX(Produtos!$I$4:$I$103,MATCH($C35,Produtos!$A$4:$A$103,0)),""))</f>
        <v/>
      </c>
      <c r="S35" s="28">
        <f>IF($C35="","",IFERROR(INDEX(Produtos!$J$4:$J$103,MATCH($C35,Produtos!$A$4:$A$103,0)),""))</f>
        <v/>
      </c>
      <c r="T35" s="27">
        <f>IF($AG35&lt;&gt;"Pronta","",IFERROR(IF($F35&lt;=INDEX(Regras!$C$4:$C$103,MATCH($D35,Regras!$A$4:$A$103,0)),INDEX(Regras!$E$4:$E$103,MATCH($D35,Regras!$A$4:$A$103,0)),IF($F35&gt;=INDEX(Regras!$D$4:$D$103,MATCH($D35,Regras!$A$4:$A$103,0)),INDEX(Regras!$F$4:$F$103,MATCH($D35,Regras!$A$4:$A$103,0)),0)),""))</f>
        <v/>
      </c>
      <c r="U35" s="27">
        <f>IF($AG35&lt;&gt;"Pronta","",IFERROR(IF($G35="",0,IF($G35&lt;=$E35*(1-INDEX(Regras!$G$4:$G$103,MATCH($D35,Regras!$A$4:$A$103,0))),INDEX(Regras!$H$4:$H$103,MATCH($D35,Regras!$A$4:$A$103,0)),IF($G35&gt;=$E35*(1+INDEX(Regras!$G$4:$G$103,MATCH($D35,Regras!$A$4:$A$103,0))),INDEX(Regras!$I$4:$I$103,MATCH($D35,Regras!$A$4:$A$103,0)),0))),""))</f>
        <v/>
      </c>
      <c r="V35" s="27">
        <f>IF($AG35&lt;&gt;"Pronta","",IFERROR(IF($H35/$S35&lt;=INDEX(Regras!$J$4:$J$103,MATCH($D35,Regras!$A$4:$A$103,0)),INDEX(Regras!$L$4:$L$103,MATCH($D35,Regras!$A$4:$A$103,0)),IF($H35/$S35&gt;=INDEX(Regras!$K$4:$K$103,MATCH($D35,Regras!$A$4:$A$103,0)),INDEX(Regras!$M$4:$M$103,MATCH($D35,Regras!$A$4:$A$103,0)),0)),""))</f>
        <v/>
      </c>
      <c r="W35" s="27">
        <f>IF($AG35&lt;&gt;"Pronta","",SUM($T35:$V35))</f>
        <v/>
      </c>
      <c r="X35" s="27">
        <f>IF($AG35&lt;&gt;"Pronta","",IFERROR(MAX(-INDEX(Regras!$N$4:$N$103,MATCH($D35,Regras!$A$4:$A$103,0)),MIN(INDEX(Regras!$N$4:$N$103,MATCH($D35,Regras!$A$4:$A$103,0)),$W35)),""))</f>
        <v/>
      </c>
      <c r="Y35" s="19">
        <f>IF($AG35&lt;&gt;"Pronta","",IFERROR(ROUND($E35*(1+$X35),2),""))</f>
        <v/>
      </c>
      <c r="Z35" s="29">
        <f>IF(OR($AG35&lt;&gt;"Pronta",$Q35="",$R35=""),"",IFERROR(ROUND(MIN($R35,MAX($Q35,$Y35)),2),""))</f>
        <v/>
      </c>
      <c r="AA35" s="27">
        <f>IF(OR($E35="",$Z35=""),"",IFERROR($Z35/$E35-1,""))</f>
        <v/>
      </c>
      <c r="AB35" s="26">
        <f>IF($Z35="","",IF($Y35&lt;$Q35,"Piso",IF($Y35&gt;$R35,"Teto","Nenhuma")))</f>
        <v/>
      </c>
      <c r="AC35" s="21">
        <f>IF($A35="","",IF($AG35&lt;&gt;"Pronta","Aguardando dados válidos",_xlfn.TEXTJOIN(" | ",TRUE,IF($T35&gt;0,"Demanda: aumento",IF($T35&lt;0,"Demanda: redução","")),IF($U35&gt;0,"Concorrência: aumento",IF($U35&lt;0,"Concorrência: redução","")),IF($V35&gt;0,"Estoque: aumento",IF($V35&lt;0,"Estoque: redução","")),IF(ABS($W35-$X35)&gt;0.0000001,"Limite da rodada aplicado",""),IF($AB35="Piso","Piso vigente aplicado",IF($AB35="Teto","Teto aplicado","")),IF(AND($T35=0,$U35=0,$V35=0),"Sem gatilho de reajuste",""))))</f>
        <v/>
      </c>
      <c r="AD35" s="21">
        <f>IF(OR($A35="",$AG35&lt;&gt;"Pronta"),"",_xlfn.TEXTJOIN(" | ",TRUE,IF($E35&lt;$Q35,"Preço atual abaixo do piso",""),IF($E35&gt;$R35,"Preço atual acima do teto",""),IF(AND($N35&gt;0,$E35&gt;0,1-$N35/$E35&lt;$O35),"Margem estimada do preço atual abaixo do mínimo",""),IF($G35="","Preço concorrente não informado",""),IF($AB35="Piso","Recomendação travada no piso",""),IF($AB35="Teto","Recomendação travada no teto","")))</f>
        <v/>
      </c>
      <c r="AE35" s="19">
        <f>IF($AG35&lt;&gt;"Pronta","",IF($I35="Aprovar recomendação",$Z35,IF($I35="Manter preço atual",$E35,IF($I35="Definir manualmente",$J35,""))))</f>
        <v/>
      </c>
      <c r="AF35" s="21">
        <f>IF($A35="","",IF($AG35&lt;&gt;"Pronta","Aguardando correção",IF(OR($I35="",$I35="Pendente"),"Decisão pendente",IF(AND($I35="Definir manualmente",OR($J35="",$J35&lt;=0)),"Informe o preço manual",IF(OR($AE35&lt;$Q35,$AE35&gt;$R35),"Preço final fora do piso/teto","OK")))))</f>
        <v/>
      </c>
      <c r="AG35" s="26">
        <f>IF(COUNTA($A35:$K35)=0,"",IF(OR($A35="",$B35="",$C35="",$D35="",$E35="",$F35="",$H35=""),"Incompleta",IF(OR(COUNTIF($A$5:$A$204,$A35)&gt;1,NOT(ISNUMBER($B35)),COUNTIF(Produtos!$A$4:$A$103,$C35)&lt;&gt;1,IFERROR(INDEX(Produtos!$K$4:$K$103,MATCH($C35,Produtos!$A$4:$A$103,0))&lt;&gt;"Ativo",TRUE),IFERROR(INDEX(Produtos!$L$4:$L$103,MATCH($C35,Produtos!$A$4:$A$103,0))&lt;&gt;"OK",TRUE),COUNTIF(Regras!$A$4:$A$103,$D35)&lt;&gt;1,IFERROR(INDEX(Regras!$O$4:$O$103,MATCH($D35,Regras!$A$4:$A$103,0))&lt;&gt;"Sim",TRUE),IFERROR(INDEX(Regras!$P$4:$P$103,MATCH($D35,Regras!$A$4:$A$103,0))&lt;&gt;"OK",TRUE),NOT(ISNUMBER($E35)),$E35&lt;=0,NOT(ISNUMBER($F35)),$F35&lt;0,$F35&gt;5,NOT(ISNUMBER($H35)),$H35&lt;0,$H35&lt;&gt;INT($H35),AND($G35&lt;&gt;"",OR(NOT(ISNUMBER($G35)),$G35&lt;=0))),"Revisar","Pronta")))</f>
        <v/>
      </c>
    </row>
    <row r="36">
      <c r="A36" s="16" t="n"/>
      <c r="B36" s="24" t="n"/>
      <c r="C36" s="16" t="n"/>
      <c r="D36" s="16" t="n"/>
      <c r="E36" s="17" t="n"/>
      <c r="F36" s="18" t="n"/>
      <c r="G36" s="17" t="n"/>
      <c r="H36" s="20" t="n"/>
      <c r="I36" s="16" t="n"/>
      <c r="J36" s="17" t="n"/>
      <c r="K36" s="25" t="n"/>
      <c r="L36" s="26">
        <f>IF($C36="","",IFERROR(INDEX(Produtos!$B$4:$B$103,MATCH($C36,Produtos!$A$4:$A$103,0)),""))</f>
        <v/>
      </c>
      <c r="M36" s="26">
        <f>IF($C36="","",IFERROR(INDEX(Produtos!$C$4:$C$103,MATCH($C36,Produtos!$A$4:$A$103,0)),""))</f>
        <v/>
      </c>
      <c r="N36" s="19">
        <f>IF($C36="","",IFERROR(INDEX(Produtos!$D$4:$D$103,MATCH($C36,Produtos!$A$4:$A$103,0)),""))</f>
        <v/>
      </c>
      <c r="O36" s="27">
        <f>IF($C36="","",IFERROR(INDEX(Produtos!$E$4:$E$103,MATCH($C36,Produtos!$A$4:$A$103,0)),""))</f>
        <v/>
      </c>
      <c r="P36" s="19">
        <f>IF($C36="","",IFERROR(INDEX(Produtos!$G$4:$G$103,MATCH($C36,Produtos!$A$4:$A$103,0)),""))</f>
        <v/>
      </c>
      <c r="Q36" s="19">
        <f>IF($C36="","",IFERROR(INDEX(Produtos!$H$4:$H$103,MATCH($C36,Produtos!$A$4:$A$103,0)),""))</f>
        <v/>
      </c>
      <c r="R36" s="19">
        <f>IF($C36="","",IFERROR(INDEX(Produtos!$I$4:$I$103,MATCH($C36,Produtos!$A$4:$A$103,0)),""))</f>
        <v/>
      </c>
      <c r="S36" s="28">
        <f>IF($C36="","",IFERROR(INDEX(Produtos!$J$4:$J$103,MATCH($C36,Produtos!$A$4:$A$103,0)),""))</f>
        <v/>
      </c>
      <c r="T36" s="27">
        <f>IF($AG36&lt;&gt;"Pronta","",IFERROR(IF($F36&lt;=INDEX(Regras!$C$4:$C$103,MATCH($D36,Regras!$A$4:$A$103,0)),INDEX(Regras!$E$4:$E$103,MATCH($D36,Regras!$A$4:$A$103,0)),IF($F36&gt;=INDEX(Regras!$D$4:$D$103,MATCH($D36,Regras!$A$4:$A$103,0)),INDEX(Regras!$F$4:$F$103,MATCH($D36,Regras!$A$4:$A$103,0)),0)),""))</f>
        <v/>
      </c>
      <c r="U36" s="27">
        <f>IF($AG36&lt;&gt;"Pronta","",IFERROR(IF($G36="",0,IF($G36&lt;=$E36*(1-INDEX(Regras!$G$4:$G$103,MATCH($D36,Regras!$A$4:$A$103,0))),INDEX(Regras!$H$4:$H$103,MATCH($D36,Regras!$A$4:$A$103,0)),IF($G36&gt;=$E36*(1+INDEX(Regras!$G$4:$G$103,MATCH($D36,Regras!$A$4:$A$103,0))),INDEX(Regras!$I$4:$I$103,MATCH($D36,Regras!$A$4:$A$103,0)),0))),""))</f>
        <v/>
      </c>
      <c r="V36" s="27">
        <f>IF($AG36&lt;&gt;"Pronta","",IFERROR(IF($H36/$S36&lt;=INDEX(Regras!$J$4:$J$103,MATCH($D36,Regras!$A$4:$A$103,0)),INDEX(Regras!$L$4:$L$103,MATCH($D36,Regras!$A$4:$A$103,0)),IF($H36/$S36&gt;=INDEX(Regras!$K$4:$K$103,MATCH($D36,Regras!$A$4:$A$103,0)),INDEX(Regras!$M$4:$M$103,MATCH($D36,Regras!$A$4:$A$103,0)),0)),""))</f>
        <v/>
      </c>
      <c r="W36" s="27">
        <f>IF($AG36&lt;&gt;"Pronta","",SUM($T36:$V36))</f>
        <v/>
      </c>
      <c r="X36" s="27">
        <f>IF($AG36&lt;&gt;"Pronta","",IFERROR(MAX(-INDEX(Regras!$N$4:$N$103,MATCH($D36,Regras!$A$4:$A$103,0)),MIN(INDEX(Regras!$N$4:$N$103,MATCH($D36,Regras!$A$4:$A$103,0)),$W36)),""))</f>
        <v/>
      </c>
      <c r="Y36" s="19">
        <f>IF($AG36&lt;&gt;"Pronta","",IFERROR(ROUND($E36*(1+$X36),2),""))</f>
        <v/>
      </c>
      <c r="Z36" s="29">
        <f>IF(OR($AG36&lt;&gt;"Pronta",$Q36="",$R36=""),"",IFERROR(ROUND(MIN($R36,MAX($Q36,$Y36)),2),""))</f>
        <v/>
      </c>
      <c r="AA36" s="27">
        <f>IF(OR($E36="",$Z36=""),"",IFERROR($Z36/$E36-1,""))</f>
        <v/>
      </c>
      <c r="AB36" s="26">
        <f>IF($Z36="","",IF($Y36&lt;$Q36,"Piso",IF($Y36&gt;$R36,"Teto","Nenhuma")))</f>
        <v/>
      </c>
      <c r="AC36" s="21">
        <f>IF($A36="","",IF($AG36&lt;&gt;"Pronta","Aguardando dados válidos",_xlfn.TEXTJOIN(" | ",TRUE,IF($T36&gt;0,"Demanda: aumento",IF($T36&lt;0,"Demanda: redução","")),IF($U36&gt;0,"Concorrência: aumento",IF($U36&lt;0,"Concorrência: redução","")),IF($V36&gt;0,"Estoque: aumento",IF($V36&lt;0,"Estoque: redução","")),IF(ABS($W36-$X36)&gt;0.0000001,"Limite da rodada aplicado",""),IF($AB36="Piso","Piso vigente aplicado",IF($AB36="Teto","Teto aplicado","")),IF(AND($T36=0,$U36=0,$V36=0),"Sem gatilho de reajuste",""))))</f>
        <v/>
      </c>
      <c r="AD36" s="21">
        <f>IF(OR($A36="",$AG36&lt;&gt;"Pronta"),"",_xlfn.TEXTJOIN(" | ",TRUE,IF($E36&lt;$Q36,"Preço atual abaixo do piso",""),IF($E36&gt;$R36,"Preço atual acima do teto",""),IF(AND($N36&gt;0,$E36&gt;0,1-$N36/$E36&lt;$O36),"Margem estimada do preço atual abaixo do mínimo",""),IF($G36="","Preço concorrente não informado",""),IF($AB36="Piso","Recomendação travada no piso",""),IF($AB36="Teto","Recomendação travada no teto","")))</f>
        <v/>
      </c>
      <c r="AE36" s="19">
        <f>IF($AG36&lt;&gt;"Pronta","",IF($I36="Aprovar recomendação",$Z36,IF($I36="Manter preço atual",$E36,IF($I36="Definir manualmente",$J36,""))))</f>
        <v/>
      </c>
      <c r="AF36" s="21">
        <f>IF($A36="","",IF($AG36&lt;&gt;"Pronta","Aguardando correção",IF(OR($I36="",$I36="Pendente"),"Decisão pendente",IF(AND($I36="Definir manualmente",OR($J36="",$J36&lt;=0)),"Informe o preço manual",IF(OR($AE36&lt;$Q36,$AE36&gt;$R36),"Preço final fora do piso/teto","OK")))))</f>
        <v/>
      </c>
      <c r="AG36" s="26">
        <f>IF(COUNTA($A36:$K36)=0,"",IF(OR($A36="",$B36="",$C36="",$D36="",$E36="",$F36="",$H36=""),"Incompleta",IF(OR(COUNTIF($A$5:$A$204,$A36)&gt;1,NOT(ISNUMBER($B36)),COUNTIF(Produtos!$A$4:$A$103,$C36)&lt;&gt;1,IFERROR(INDEX(Produtos!$K$4:$K$103,MATCH($C36,Produtos!$A$4:$A$103,0))&lt;&gt;"Ativo",TRUE),IFERROR(INDEX(Produtos!$L$4:$L$103,MATCH($C36,Produtos!$A$4:$A$103,0))&lt;&gt;"OK",TRUE),COUNTIF(Regras!$A$4:$A$103,$D36)&lt;&gt;1,IFERROR(INDEX(Regras!$O$4:$O$103,MATCH($D36,Regras!$A$4:$A$103,0))&lt;&gt;"Sim",TRUE),IFERROR(INDEX(Regras!$P$4:$P$103,MATCH($D36,Regras!$A$4:$A$103,0))&lt;&gt;"OK",TRUE),NOT(ISNUMBER($E36)),$E36&lt;=0,NOT(ISNUMBER($F36)),$F36&lt;0,$F36&gt;5,NOT(ISNUMBER($H36)),$H36&lt;0,$H36&lt;&gt;INT($H36),AND($G36&lt;&gt;"",OR(NOT(ISNUMBER($G36)),$G36&lt;=0))),"Revisar","Pronta")))</f>
        <v/>
      </c>
    </row>
    <row r="37">
      <c r="A37" s="16" t="n"/>
      <c r="B37" s="24" t="n"/>
      <c r="C37" s="16" t="n"/>
      <c r="D37" s="16" t="n"/>
      <c r="E37" s="17" t="n"/>
      <c r="F37" s="18" t="n"/>
      <c r="G37" s="17" t="n"/>
      <c r="H37" s="20" t="n"/>
      <c r="I37" s="16" t="n"/>
      <c r="J37" s="17" t="n"/>
      <c r="K37" s="25" t="n"/>
      <c r="L37" s="26">
        <f>IF($C37="","",IFERROR(INDEX(Produtos!$B$4:$B$103,MATCH($C37,Produtos!$A$4:$A$103,0)),""))</f>
        <v/>
      </c>
      <c r="M37" s="26">
        <f>IF($C37="","",IFERROR(INDEX(Produtos!$C$4:$C$103,MATCH($C37,Produtos!$A$4:$A$103,0)),""))</f>
        <v/>
      </c>
      <c r="N37" s="19">
        <f>IF($C37="","",IFERROR(INDEX(Produtos!$D$4:$D$103,MATCH($C37,Produtos!$A$4:$A$103,0)),""))</f>
        <v/>
      </c>
      <c r="O37" s="27">
        <f>IF($C37="","",IFERROR(INDEX(Produtos!$E$4:$E$103,MATCH($C37,Produtos!$A$4:$A$103,0)),""))</f>
        <v/>
      </c>
      <c r="P37" s="19">
        <f>IF($C37="","",IFERROR(INDEX(Produtos!$G$4:$G$103,MATCH($C37,Produtos!$A$4:$A$103,0)),""))</f>
        <v/>
      </c>
      <c r="Q37" s="19">
        <f>IF($C37="","",IFERROR(INDEX(Produtos!$H$4:$H$103,MATCH($C37,Produtos!$A$4:$A$103,0)),""))</f>
        <v/>
      </c>
      <c r="R37" s="19">
        <f>IF($C37="","",IFERROR(INDEX(Produtos!$I$4:$I$103,MATCH($C37,Produtos!$A$4:$A$103,0)),""))</f>
        <v/>
      </c>
      <c r="S37" s="28">
        <f>IF($C37="","",IFERROR(INDEX(Produtos!$J$4:$J$103,MATCH($C37,Produtos!$A$4:$A$103,0)),""))</f>
        <v/>
      </c>
      <c r="T37" s="27">
        <f>IF($AG37&lt;&gt;"Pronta","",IFERROR(IF($F37&lt;=INDEX(Regras!$C$4:$C$103,MATCH($D37,Regras!$A$4:$A$103,0)),INDEX(Regras!$E$4:$E$103,MATCH($D37,Regras!$A$4:$A$103,0)),IF($F37&gt;=INDEX(Regras!$D$4:$D$103,MATCH($D37,Regras!$A$4:$A$103,0)),INDEX(Regras!$F$4:$F$103,MATCH($D37,Regras!$A$4:$A$103,0)),0)),""))</f>
        <v/>
      </c>
      <c r="U37" s="27">
        <f>IF($AG37&lt;&gt;"Pronta","",IFERROR(IF($G37="",0,IF($G37&lt;=$E37*(1-INDEX(Regras!$G$4:$G$103,MATCH($D37,Regras!$A$4:$A$103,0))),INDEX(Regras!$H$4:$H$103,MATCH($D37,Regras!$A$4:$A$103,0)),IF($G37&gt;=$E37*(1+INDEX(Regras!$G$4:$G$103,MATCH($D37,Regras!$A$4:$A$103,0))),INDEX(Regras!$I$4:$I$103,MATCH($D37,Regras!$A$4:$A$103,0)),0))),""))</f>
        <v/>
      </c>
      <c r="V37" s="27">
        <f>IF($AG37&lt;&gt;"Pronta","",IFERROR(IF($H37/$S37&lt;=INDEX(Regras!$J$4:$J$103,MATCH($D37,Regras!$A$4:$A$103,0)),INDEX(Regras!$L$4:$L$103,MATCH($D37,Regras!$A$4:$A$103,0)),IF($H37/$S37&gt;=INDEX(Regras!$K$4:$K$103,MATCH($D37,Regras!$A$4:$A$103,0)),INDEX(Regras!$M$4:$M$103,MATCH($D37,Regras!$A$4:$A$103,0)),0)),""))</f>
        <v/>
      </c>
      <c r="W37" s="27">
        <f>IF($AG37&lt;&gt;"Pronta","",SUM($T37:$V37))</f>
        <v/>
      </c>
      <c r="X37" s="27">
        <f>IF($AG37&lt;&gt;"Pronta","",IFERROR(MAX(-INDEX(Regras!$N$4:$N$103,MATCH($D37,Regras!$A$4:$A$103,0)),MIN(INDEX(Regras!$N$4:$N$103,MATCH($D37,Regras!$A$4:$A$103,0)),$W37)),""))</f>
        <v/>
      </c>
      <c r="Y37" s="19">
        <f>IF($AG37&lt;&gt;"Pronta","",IFERROR(ROUND($E37*(1+$X37),2),""))</f>
        <v/>
      </c>
      <c r="Z37" s="29">
        <f>IF(OR($AG37&lt;&gt;"Pronta",$Q37="",$R37=""),"",IFERROR(ROUND(MIN($R37,MAX($Q37,$Y37)),2),""))</f>
        <v/>
      </c>
      <c r="AA37" s="27">
        <f>IF(OR($E37="",$Z37=""),"",IFERROR($Z37/$E37-1,""))</f>
        <v/>
      </c>
      <c r="AB37" s="26">
        <f>IF($Z37="","",IF($Y37&lt;$Q37,"Piso",IF($Y37&gt;$R37,"Teto","Nenhuma")))</f>
        <v/>
      </c>
      <c r="AC37" s="21">
        <f>IF($A37="","",IF($AG37&lt;&gt;"Pronta","Aguardando dados válidos",_xlfn.TEXTJOIN(" | ",TRUE,IF($T37&gt;0,"Demanda: aumento",IF($T37&lt;0,"Demanda: redução","")),IF($U37&gt;0,"Concorrência: aumento",IF($U37&lt;0,"Concorrência: redução","")),IF($V37&gt;0,"Estoque: aumento",IF($V37&lt;0,"Estoque: redução","")),IF(ABS($W37-$X37)&gt;0.0000001,"Limite da rodada aplicado",""),IF($AB37="Piso","Piso vigente aplicado",IF($AB37="Teto","Teto aplicado","")),IF(AND($T37=0,$U37=0,$V37=0),"Sem gatilho de reajuste",""))))</f>
        <v/>
      </c>
      <c r="AD37" s="21">
        <f>IF(OR($A37="",$AG37&lt;&gt;"Pronta"),"",_xlfn.TEXTJOIN(" | ",TRUE,IF($E37&lt;$Q37,"Preço atual abaixo do piso",""),IF($E37&gt;$R37,"Preço atual acima do teto",""),IF(AND($N37&gt;0,$E37&gt;0,1-$N37/$E37&lt;$O37),"Margem estimada do preço atual abaixo do mínimo",""),IF($G37="","Preço concorrente não informado",""),IF($AB37="Piso","Recomendação travada no piso",""),IF($AB37="Teto","Recomendação travada no teto","")))</f>
        <v/>
      </c>
      <c r="AE37" s="19">
        <f>IF($AG37&lt;&gt;"Pronta","",IF($I37="Aprovar recomendação",$Z37,IF($I37="Manter preço atual",$E37,IF($I37="Definir manualmente",$J37,""))))</f>
        <v/>
      </c>
      <c r="AF37" s="21">
        <f>IF($A37="","",IF($AG37&lt;&gt;"Pronta","Aguardando correção",IF(OR($I37="",$I37="Pendente"),"Decisão pendente",IF(AND($I37="Definir manualmente",OR($J37="",$J37&lt;=0)),"Informe o preço manual",IF(OR($AE37&lt;$Q37,$AE37&gt;$R37),"Preço final fora do piso/teto","OK")))))</f>
        <v/>
      </c>
      <c r="AG37" s="26">
        <f>IF(COUNTA($A37:$K37)=0,"",IF(OR($A37="",$B37="",$C37="",$D37="",$E37="",$F37="",$H37=""),"Incompleta",IF(OR(COUNTIF($A$5:$A$204,$A37)&gt;1,NOT(ISNUMBER($B37)),COUNTIF(Produtos!$A$4:$A$103,$C37)&lt;&gt;1,IFERROR(INDEX(Produtos!$K$4:$K$103,MATCH($C37,Produtos!$A$4:$A$103,0))&lt;&gt;"Ativo",TRUE),IFERROR(INDEX(Produtos!$L$4:$L$103,MATCH($C37,Produtos!$A$4:$A$103,0))&lt;&gt;"OK",TRUE),COUNTIF(Regras!$A$4:$A$103,$D37)&lt;&gt;1,IFERROR(INDEX(Regras!$O$4:$O$103,MATCH($D37,Regras!$A$4:$A$103,0))&lt;&gt;"Sim",TRUE),IFERROR(INDEX(Regras!$P$4:$P$103,MATCH($D37,Regras!$A$4:$A$103,0))&lt;&gt;"OK",TRUE),NOT(ISNUMBER($E37)),$E37&lt;=0,NOT(ISNUMBER($F37)),$F37&lt;0,$F37&gt;5,NOT(ISNUMBER($H37)),$H37&lt;0,$H37&lt;&gt;INT($H37),AND($G37&lt;&gt;"",OR(NOT(ISNUMBER($G37)),$G37&lt;=0))),"Revisar","Pronta")))</f>
        <v/>
      </c>
    </row>
    <row r="38">
      <c r="A38" s="16" t="n"/>
      <c r="B38" s="24" t="n"/>
      <c r="C38" s="16" t="n"/>
      <c r="D38" s="16" t="n"/>
      <c r="E38" s="17" t="n"/>
      <c r="F38" s="18" t="n"/>
      <c r="G38" s="17" t="n"/>
      <c r="H38" s="20" t="n"/>
      <c r="I38" s="16" t="n"/>
      <c r="J38" s="17" t="n"/>
      <c r="K38" s="25" t="n"/>
      <c r="L38" s="26">
        <f>IF($C38="","",IFERROR(INDEX(Produtos!$B$4:$B$103,MATCH($C38,Produtos!$A$4:$A$103,0)),""))</f>
        <v/>
      </c>
      <c r="M38" s="26">
        <f>IF($C38="","",IFERROR(INDEX(Produtos!$C$4:$C$103,MATCH($C38,Produtos!$A$4:$A$103,0)),""))</f>
        <v/>
      </c>
      <c r="N38" s="19">
        <f>IF($C38="","",IFERROR(INDEX(Produtos!$D$4:$D$103,MATCH($C38,Produtos!$A$4:$A$103,0)),""))</f>
        <v/>
      </c>
      <c r="O38" s="27">
        <f>IF($C38="","",IFERROR(INDEX(Produtos!$E$4:$E$103,MATCH($C38,Produtos!$A$4:$A$103,0)),""))</f>
        <v/>
      </c>
      <c r="P38" s="19">
        <f>IF($C38="","",IFERROR(INDEX(Produtos!$G$4:$G$103,MATCH($C38,Produtos!$A$4:$A$103,0)),""))</f>
        <v/>
      </c>
      <c r="Q38" s="19">
        <f>IF($C38="","",IFERROR(INDEX(Produtos!$H$4:$H$103,MATCH($C38,Produtos!$A$4:$A$103,0)),""))</f>
        <v/>
      </c>
      <c r="R38" s="19">
        <f>IF($C38="","",IFERROR(INDEX(Produtos!$I$4:$I$103,MATCH($C38,Produtos!$A$4:$A$103,0)),""))</f>
        <v/>
      </c>
      <c r="S38" s="28">
        <f>IF($C38="","",IFERROR(INDEX(Produtos!$J$4:$J$103,MATCH($C38,Produtos!$A$4:$A$103,0)),""))</f>
        <v/>
      </c>
      <c r="T38" s="27">
        <f>IF($AG38&lt;&gt;"Pronta","",IFERROR(IF($F38&lt;=INDEX(Regras!$C$4:$C$103,MATCH($D38,Regras!$A$4:$A$103,0)),INDEX(Regras!$E$4:$E$103,MATCH($D38,Regras!$A$4:$A$103,0)),IF($F38&gt;=INDEX(Regras!$D$4:$D$103,MATCH($D38,Regras!$A$4:$A$103,0)),INDEX(Regras!$F$4:$F$103,MATCH($D38,Regras!$A$4:$A$103,0)),0)),""))</f>
        <v/>
      </c>
      <c r="U38" s="27">
        <f>IF($AG38&lt;&gt;"Pronta","",IFERROR(IF($G38="",0,IF($G38&lt;=$E38*(1-INDEX(Regras!$G$4:$G$103,MATCH($D38,Regras!$A$4:$A$103,0))),INDEX(Regras!$H$4:$H$103,MATCH($D38,Regras!$A$4:$A$103,0)),IF($G38&gt;=$E38*(1+INDEX(Regras!$G$4:$G$103,MATCH($D38,Regras!$A$4:$A$103,0))),INDEX(Regras!$I$4:$I$103,MATCH($D38,Regras!$A$4:$A$103,0)),0))),""))</f>
        <v/>
      </c>
      <c r="V38" s="27">
        <f>IF($AG38&lt;&gt;"Pronta","",IFERROR(IF($H38/$S38&lt;=INDEX(Regras!$J$4:$J$103,MATCH($D38,Regras!$A$4:$A$103,0)),INDEX(Regras!$L$4:$L$103,MATCH($D38,Regras!$A$4:$A$103,0)),IF($H38/$S38&gt;=INDEX(Regras!$K$4:$K$103,MATCH($D38,Regras!$A$4:$A$103,0)),INDEX(Regras!$M$4:$M$103,MATCH($D38,Regras!$A$4:$A$103,0)),0)),""))</f>
        <v/>
      </c>
      <c r="W38" s="27">
        <f>IF($AG38&lt;&gt;"Pronta","",SUM($T38:$V38))</f>
        <v/>
      </c>
      <c r="X38" s="27">
        <f>IF($AG38&lt;&gt;"Pronta","",IFERROR(MAX(-INDEX(Regras!$N$4:$N$103,MATCH($D38,Regras!$A$4:$A$103,0)),MIN(INDEX(Regras!$N$4:$N$103,MATCH($D38,Regras!$A$4:$A$103,0)),$W38)),""))</f>
        <v/>
      </c>
      <c r="Y38" s="19">
        <f>IF($AG38&lt;&gt;"Pronta","",IFERROR(ROUND($E38*(1+$X38),2),""))</f>
        <v/>
      </c>
      <c r="Z38" s="29">
        <f>IF(OR($AG38&lt;&gt;"Pronta",$Q38="",$R38=""),"",IFERROR(ROUND(MIN($R38,MAX($Q38,$Y38)),2),""))</f>
        <v/>
      </c>
      <c r="AA38" s="27">
        <f>IF(OR($E38="",$Z38=""),"",IFERROR($Z38/$E38-1,""))</f>
        <v/>
      </c>
      <c r="AB38" s="26">
        <f>IF($Z38="","",IF($Y38&lt;$Q38,"Piso",IF($Y38&gt;$R38,"Teto","Nenhuma")))</f>
        <v/>
      </c>
      <c r="AC38" s="21">
        <f>IF($A38="","",IF($AG38&lt;&gt;"Pronta","Aguardando dados válidos",_xlfn.TEXTJOIN(" | ",TRUE,IF($T38&gt;0,"Demanda: aumento",IF($T38&lt;0,"Demanda: redução","")),IF($U38&gt;0,"Concorrência: aumento",IF($U38&lt;0,"Concorrência: redução","")),IF($V38&gt;0,"Estoque: aumento",IF($V38&lt;0,"Estoque: redução","")),IF(ABS($W38-$X38)&gt;0.0000001,"Limite da rodada aplicado",""),IF($AB38="Piso","Piso vigente aplicado",IF($AB38="Teto","Teto aplicado","")),IF(AND($T38=0,$U38=0,$V38=0),"Sem gatilho de reajuste",""))))</f>
        <v/>
      </c>
      <c r="AD38" s="21">
        <f>IF(OR($A38="",$AG38&lt;&gt;"Pronta"),"",_xlfn.TEXTJOIN(" | ",TRUE,IF($E38&lt;$Q38,"Preço atual abaixo do piso",""),IF($E38&gt;$R38,"Preço atual acima do teto",""),IF(AND($N38&gt;0,$E38&gt;0,1-$N38/$E38&lt;$O38),"Margem estimada do preço atual abaixo do mínimo",""),IF($G38="","Preço concorrente não informado",""),IF($AB38="Piso","Recomendação travada no piso",""),IF($AB38="Teto","Recomendação travada no teto","")))</f>
        <v/>
      </c>
      <c r="AE38" s="19">
        <f>IF($AG38&lt;&gt;"Pronta","",IF($I38="Aprovar recomendação",$Z38,IF($I38="Manter preço atual",$E38,IF($I38="Definir manualmente",$J38,""))))</f>
        <v/>
      </c>
      <c r="AF38" s="21">
        <f>IF($A38="","",IF($AG38&lt;&gt;"Pronta","Aguardando correção",IF(OR($I38="",$I38="Pendente"),"Decisão pendente",IF(AND($I38="Definir manualmente",OR($J38="",$J38&lt;=0)),"Informe o preço manual",IF(OR($AE38&lt;$Q38,$AE38&gt;$R38),"Preço final fora do piso/teto","OK")))))</f>
        <v/>
      </c>
      <c r="AG38" s="26">
        <f>IF(COUNTA($A38:$K38)=0,"",IF(OR($A38="",$B38="",$C38="",$D38="",$E38="",$F38="",$H38=""),"Incompleta",IF(OR(COUNTIF($A$5:$A$204,$A38)&gt;1,NOT(ISNUMBER($B38)),COUNTIF(Produtos!$A$4:$A$103,$C38)&lt;&gt;1,IFERROR(INDEX(Produtos!$K$4:$K$103,MATCH($C38,Produtos!$A$4:$A$103,0))&lt;&gt;"Ativo",TRUE),IFERROR(INDEX(Produtos!$L$4:$L$103,MATCH($C38,Produtos!$A$4:$A$103,0))&lt;&gt;"OK",TRUE),COUNTIF(Regras!$A$4:$A$103,$D38)&lt;&gt;1,IFERROR(INDEX(Regras!$O$4:$O$103,MATCH($D38,Regras!$A$4:$A$103,0))&lt;&gt;"Sim",TRUE),IFERROR(INDEX(Regras!$P$4:$P$103,MATCH($D38,Regras!$A$4:$A$103,0))&lt;&gt;"OK",TRUE),NOT(ISNUMBER($E38)),$E38&lt;=0,NOT(ISNUMBER($F38)),$F38&lt;0,$F38&gt;5,NOT(ISNUMBER($H38)),$H38&lt;0,$H38&lt;&gt;INT($H38),AND($G38&lt;&gt;"",OR(NOT(ISNUMBER($G38)),$G38&lt;=0))),"Revisar","Pronta")))</f>
        <v/>
      </c>
    </row>
    <row r="39">
      <c r="A39" s="16" t="n"/>
      <c r="B39" s="24" t="n"/>
      <c r="C39" s="16" t="n"/>
      <c r="D39" s="16" t="n"/>
      <c r="E39" s="17" t="n"/>
      <c r="F39" s="18" t="n"/>
      <c r="G39" s="17" t="n"/>
      <c r="H39" s="20" t="n"/>
      <c r="I39" s="16" t="n"/>
      <c r="J39" s="17" t="n"/>
      <c r="K39" s="25" t="n"/>
      <c r="L39" s="26">
        <f>IF($C39="","",IFERROR(INDEX(Produtos!$B$4:$B$103,MATCH($C39,Produtos!$A$4:$A$103,0)),""))</f>
        <v/>
      </c>
      <c r="M39" s="26">
        <f>IF($C39="","",IFERROR(INDEX(Produtos!$C$4:$C$103,MATCH($C39,Produtos!$A$4:$A$103,0)),""))</f>
        <v/>
      </c>
      <c r="N39" s="19">
        <f>IF($C39="","",IFERROR(INDEX(Produtos!$D$4:$D$103,MATCH($C39,Produtos!$A$4:$A$103,0)),""))</f>
        <v/>
      </c>
      <c r="O39" s="27">
        <f>IF($C39="","",IFERROR(INDEX(Produtos!$E$4:$E$103,MATCH($C39,Produtos!$A$4:$A$103,0)),""))</f>
        <v/>
      </c>
      <c r="P39" s="19">
        <f>IF($C39="","",IFERROR(INDEX(Produtos!$G$4:$G$103,MATCH($C39,Produtos!$A$4:$A$103,0)),""))</f>
        <v/>
      </c>
      <c r="Q39" s="19">
        <f>IF($C39="","",IFERROR(INDEX(Produtos!$H$4:$H$103,MATCH($C39,Produtos!$A$4:$A$103,0)),""))</f>
        <v/>
      </c>
      <c r="R39" s="19">
        <f>IF($C39="","",IFERROR(INDEX(Produtos!$I$4:$I$103,MATCH($C39,Produtos!$A$4:$A$103,0)),""))</f>
        <v/>
      </c>
      <c r="S39" s="28">
        <f>IF($C39="","",IFERROR(INDEX(Produtos!$J$4:$J$103,MATCH($C39,Produtos!$A$4:$A$103,0)),""))</f>
        <v/>
      </c>
      <c r="T39" s="27">
        <f>IF($AG39&lt;&gt;"Pronta","",IFERROR(IF($F39&lt;=INDEX(Regras!$C$4:$C$103,MATCH($D39,Regras!$A$4:$A$103,0)),INDEX(Regras!$E$4:$E$103,MATCH($D39,Regras!$A$4:$A$103,0)),IF($F39&gt;=INDEX(Regras!$D$4:$D$103,MATCH($D39,Regras!$A$4:$A$103,0)),INDEX(Regras!$F$4:$F$103,MATCH($D39,Regras!$A$4:$A$103,0)),0)),""))</f>
        <v/>
      </c>
      <c r="U39" s="27">
        <f>IF($AG39&lt;&gt;"Pronta","",IFERROR(IF($G39="",0,IF($G39&lt;=$E39*(1-INDEX(Regras!$G$4:$G$103,MATCH($D39,Regras!$A$4:$A$103,0))),INDEX(Regras!$H$4:$H$103,MATCH($D39,Regras!$A$4:$A$103,0)),IF($G39&gt;=$E39*(1+INDEX(Regras!$G$4:$G$103,MATCH($D39,Regras!$A$4:$A$103,0))),INDEX(Regras!$I$4:$I$103,MATCH($D39,Regras!$A$4:$A$103,0)),0))),""))</f>
        <v/>
      </c>
      <c r="V39" s="27">
        <f>IF($AG39&lt;&gt;"Pronta","",IFERROR(IF($H39/$S39&lt;=INDEX(Regras!$J$4:$J$103,MATCH($D39,Regras!$A$4:$A$103,0)),INDEX(Regras!$L$4:$L$103,MATCH($D39,Regras!$A$4:$A$103,0)),IF($H39/$S39&gt;=INDEX(Regras!$K$4:$K$103,MATCH($D39,Regras!$A$4:$A$103,0)),INDEX(Regras!$M$4:$M$103,MATCH($D39,Regras!$A$4:$A$103,0)),0)),""))</f>
        <v/>
      </c>
      <c r="W39" s="27">
        <f>IF($AG39&lt;&gt;"Pronta","",SUM($T39:$V39))</f>
        <v/>
      </c>
      <c r="X39" s="27">
        <f>IF($AG39&lt;&gt;"Pronta","",IFERROR(MAX(-INDEX(Regras!$N$4:$N$103,MATCH($D39,Regras!$A$4:$A$103,0)),MIN(INDEX(Regras!$N$4:$N$103,MATCH($D39,Regras!$A$4:$A$103,0)),$W39)),""))</f>
        <v/>
      </c>
      <c r="Y39" s="19">
        <f>IF($AG39&lt;&gt;"Pronta","",IFERROR(ROUND($E39*(1+$X39),2),""))</f>
        <v/>
      </c>
      <c r="Z39" s="29">
        <f>IF(OR($AG39&lt;&gt;"Pronta",$Q39="",$R39=""),"",IFERROR(ROUND(MIN($R39,MAX($Q39,$Y39)),2),""))</f>
        <v/>
      </c>
      <c r="AA39" s="27">
        <f>IF(OR($E39="",$Z39=""),"",IFERROR($Z39/$E39-1,""))</f>
        <v/>
      </c>
      <c r="AB39" s="26">
        <f>IF($Z39="","",IF($Y39&lt;$Q39,"Piso",IF($Y39&gt;$R39,"Teto","Nenhuma")))</f>
        <v/>
      </c>
      <c r="AC39" s="21">
        <f>IF($A39="","",IF($AG39&lt;&gt;"Pronta","Aguardando dados válidos",_xlfn.TEXTJOIN(" | ",TRUE,IF($T39&gt;0,"Demanda: aumento",IF($T39&lt;0,"Demanda: redução","")),IF($U39&gt;0,"Concorrência: aumento",IF($U39&lt;0,"Concorrência: redução","")),IF($V39&gt;0,"Estoque: aumento",IF($V39&lt;0,"Estoque: redução","")),IF(ABS($W39-$X39)&gt;0.0000001,"Limite da rodada aplicado",""),IF($AB39="Piso","Piso vigente aplicado",IF($AB39="Teto","Teto aplicado","")),IF(AND($T39=0,$U39=0,$V39=0),"Sem gatilho de reajuste",""))))</f>
        <v/>
      </c>
      <c r="AD39" s="21">
        <f>IF(OR($A39="",$AG39&lt;&gt;"Pronta"),"",_xlfn.TEXTJOIN(" | ",TRUE,IF($E39&lt;$Q39,"Preço atual abaixo do piso",""),IF($E39&gt;$R39,"Preço atual acima do teto",""),IF(AND($N39&gt;0,$E39&gt;0,1-$N39/$E39&lt;$O39),"Margem estimada do preço atual abaixo do mínimo",""),IF($G39="","Preço concorrente não informado",""),IF($AB39="Piso","Recomendação travada no piso",""),IF($AB39="Teto","Recomendação travada no teto","")))</f>
        <v/>
      </c>
      <c r="AE39" s="19">
        <f>IF($AG39&lt;&gt;"Pronta","",IF($I39="Aprovar recomendação",$Z39,IF($I39="Manter preço atual",$E39,IF($I39="Definir manualmente",$J39,""))))</f>
        <v/>
      </c>
      <c r="AF39" s="21">
        <f>IF($A39="","",IF($AG39&lt;&gt;"Pronta","Aguardando correção",IF(OR($I39="",$I39="Pendente"),"Decisão pendente",IF(AND($I39="Definir manualmente",OR($J39="",$J39&lt;=0)),"Informe o preço manual",IF(OR($AE39&lt;$Q39,$AE39&gt;$R39),"Preço final fora do piso/teto","OK")))))</f>
        <v/>
      </c>
      <c r="AG39" s="26">
        <f>IF(COUNTA($A39:$K39)=0,"",IF(OR($A39="",$B39="",$C39="",$D39="",$E39="",$F39="",$H39=""),"Incompleta",IF(OR(COUNTIF($A$5:$A$204,$A39)&gt;1,NOT(ISNUMBER($B39)),COUNTIF(Produtos!$A$4:$A$103,$C39)&lt;&gt;1,IFERROR(INDEX(Produtos!$K$4:$K$103,MATCH($C39,Produtos!$A$4:$A$103,0))&lt;&gt;"Ativo",TRUE),IFERROR(INDEX(Produtos!$L$4:$L$103,MATCH($C39,Produtos!$A$4:$A$103,0))&lt;&gt;"OK",TRUE),COUNTIF(Regras!$A$4:$A$103,$D39)&lt;&gt;1,IFERROR(INDEX(Regras!$O$4:$O$103,MATCH($D39,Regras!$A$4:$A$103,0))&lt;&gt;"Sim",TRUE),IFERROR(INDEX(Regras!$P$4:$P$103,MATCH($D39,Regras!$A$4:$A$103,0))&lt;&gt;"OK",TRUE),NOT(ISNUMBER($E39)),$E39&lt;=0,NOT(ISNUMBER($F39)),$F39&lt;0,$F39&gt;5,NOT(ISNUMBER($H39)),$H39&lt;0,$H39&lt;&gt;INT($H39),AND($G39&lt;&gt;"",OR(NOT(ISNUMBER($G39)),$G39&lt;=0))),"Revisar","Pronta")))</f>
        <v/>
      </c>
    </row>
    <row r="40">
      <c r="A40" s="16" t="n"/>
      <c r="B40" s="24" t="n"/>
      <c r="C40" s="16" t="n"/>
      <c r="D40" s="16" t="n"/>
      <c r="E40" s="17" t="n"/>
      <c r="F40" s="18" t="n"/>
      <c r="G40" s="17" t="n"/>
      <c r="H40" s="20" t="n"/>
      <c r="I40" s="16" t="n"/>
      <c r="J40" s="17" t="n"/>
      <c r="K40" s="25" t="n"/>
      <c r="L40" s="26">
        <f>IF($C40="","",IFERROR(INDEX(Produtos!$B$4:$B$103,MATCH($C40,Produtos!$A$4:$A$103,0)),""))</f>
        <v/>
      </c>
      <c r="M40" s="26">
        <f>IF($C40="","",IFERROR(INDEX(Produtos!$C$4:$C$103,MATCH($C40,Produtos!$A$4:$A$103,0)),""))</f>
        <v/>
      </c>
      <c r="N40" s="19">
        <f>IF($C40="","",IFERROR(INDEX(Produtos!$D$4:$D$103,MATCH($C40,Produtos!$A$4:$A$103,0)),""))</f>
        <v/>
      </c>
      <c r="O40" s="27">
        <f>IF($C40="","",IFERROR(INDEX(Produtos!$E$4:$E$103,MATCH($C40,Produtos!$A$4:$A$103,0)),""))</f>
        <v/>
      </c>
      <c r="P40" s="19">
        <f>IF($C40="","",IFERROR(INDEX(Produtos!$G$4:$G$103,MATCH($C40,Produtos!$A$4:$A$103,0)),""))</f>
        <v/>
      </c>
      <c r="Q40" s="19">
        <f>IF($C40="","",IFERROR(INDEX(Produtos!$H$4:$H$103,MATCH($C40,Produtos!$A$4:$A$103,0)),""))</f>
        <v/>
      </c>
      <c r="R40" s="19">
        <f>IF($C40="","",IFERROR(INDEX(Produtos!$I$4:$I$103,MATCH($C40,Produtos!$A$4:$A$103,0)),""))</f>
        <v/>
      </c>
      <c r="S40" s="28">
        <f>IF($C40="","",IFERROR(INDEX(Produtos!$J$4:$J$103,MATCH($C40,Produtos!$A$4:$A$103,0)),""))</f>
        <v/>
      </c>
      <c r="T40" s="27">
        <f>IF($AG40&lt;&gt;"Pronta","",IFERROR(IF($F40&lt;=INDEX(Regras!$C$4:$C$103,MATCH($D40,Regras!$A$4:$A$103,0)),INDEX(Regras!$E$4:$E$103,MATCH($D40,Regras!$A$4:$A$103,0)),IF($F40&gt;=INDEX(Regras!$D$4:$D$103,MATCH($D40,Regras!$A$4:$A$103,0)),INDEX(Regras!$F$4:$F$103,MATCH($D40,Regras!$A$4:$A$103,0)),0)),""))</f>
        <v/>
      </c>
      <c r="U40" s="27">
        <f>IF($AG40&lt;&gt;"Pronta","",IFERROR(IF($G40="",0,IF($G40&lt;=$E40*(1-INDEX(Regras!$G$4:$G$103,MATCH($D40,Regras!$A$4:$A$103,0))),INDEX(Regras!$H$4:$H$103,MATCH($D40,Regras!$A$4:$A$103,0)),IF($G40&gt;=$E40*(1+INDEX(Regras!$G$4:$G$103,MATCH($D40,Regras!$A$4:$A$103,0))),INDEX(Regras!$I$4:$I$103,MATCH($D40,Regras!$A$4:$A$103,0)),0))),""))</f>
        <v/>
      </c>
      <c r="V40" s="27">
        <f>IF($AG40&lt;&gt;"Pronta","",IFERROR(IF($H40/$S40&lt;=INDEX(Regras!$J$4:$J$103,MATCH($D40,Regras!$A$4:$A$103,0)),INDEX(Regras!$L$4:$L$103,MATCH($D40,Regras!$A$4:$A$103,0)),IF($H40/$S40&gt;=INDEX(Regras!$K$4:$K$103,MATCH($D40,Regras!$A$4:$A$103,0)),INDEX(Regras!$M$4:$M$103,MATCH($D40,Regras!$A$4:$A$103,0)),0)),""))</f>
        <v/>
      </c>
      <c r="W40" s="27">
        <f>IF($AG40&lt;&gt;"Pronta","",SUM($T40:$V40))</f>
        <v/>
      </c>
      <c r="X40" s="27">
        <f>IF($AG40&lt;&gt;"Pronta","",IFERROR(MAX(-INDEX(Regras!$N$4:$N$103,MATCH($D40,Regras!$A$4:$A$103,0)),MIN(INDEX(Regras!$N$4:$N$103,MATCH($D40,Regras!$A$4:$A$103,0)),$W40)),""))</f>
        <v/>
      </c>
      <c r="Y40" s="19">
        <f>IF($AG40&lt;&gt;"Pronta","",IFERROR(ROUND($E40*(1+$X40),2),""))</f>
        <v/>
      </c>
      <c r="Z40" s="29">
        <f>IF(OR($AG40&lt;&gt;"Pronta",$Q40="",$R40=""),"",IFERROR(ROUND(MIN($R40,MAX($Q40,$Y40)),2),""))</f>
        <v/>
      </c>
      <c r="AA40" s="27">
        <f>IF(OR($E40="",$Z40=""),"",IFERROR($Z40/$E40-1,""))</f>
        <v/>
      </c>
      <c r="AB40" s="26">
        <f>IF($Z40="","",IF($Y40&lt;$Q40,"Piso",IF($Y40&gt;$R40,"Teto","Nenhuma")))</f>
        <v/>
      </c>
      <c r="AC40" s="21">
        <f>IF($A40="","",IF($AG40&lt;&gt;"Pronta","Aguardando dados válidos",_xlfn.TEXTJOIN(" | ",TRUE,IF($T40&gt;0,"Demanda: aumento",IF($T40&lt;0,"Demanda: redução","")),IF($U40&gt;0,"Concorrência: aumento",IF($U40&lt;0,"Concorrência: redução","")),IF($V40&gt;0,"Estoque: aumento",IF($V40&lt;0,"Estoque: redução","")),IF(ABS($W40-$X40)&gt;0.0000001,"Limite da rodada aplicado",""),IF($AB40="Piso","Piso vigente aplicado",IF($AB40="Teto","Teto aplicado","")),IF(AND($T40=0,$U40=0,$V40=0),"Sem gatilho de reajuste",""))))</f>
        <v/>
      </c>
      <c r="AD40" s="21">
        <f>IF(OR($A40="",$AG40&lt;&gt;"Pronta"),"",_xlfn.TEXTJOIN(" | ",TRUE,IF($E40&lt;$Q40,"Preço atual abaixo do piso",""),IF($E40&gt;$R40,"Preço atual acima do teto",""),IF(AND($N40&gt;0,$E40&gt;0,1-$N40/$E40&lt;$O40),"Margem estimada do preço atual abaixo do mínimo",""),IF($G40="","Preço concorrente não informado",""),IF($AB40="Piso","Recomendação travada no piso",""),IF($AB40="Teto","Recomendação travada no teto","")))</f>
        <v/>
      </c>
      <c r="AE40" s="19">
        <f>IF($AG40&lt;&gt;"Pronta","",IF($I40="Aprovar recomendação",$Z40,IF($I40="Manter preço atual",$E40,IF($I40="Definir manualmente",$J40,""))))</f>
        <v/>
      </c>
      <c r="AF40" s="21">
        <f>IF($A40="","",IF($AG40&lt;&gt;"Pronta","Aguardando correção",IF(OR($I40="",$I40="Pendente"),"Decisão pendente",IF(AND($I40="Definir manualmente",OR($J40="",$J40&lt;=0)),"Informe o preço manual",IF(OR($AE40&lt;$Q40,$AE40&gt;$R40),"Preço final fora do piso/teto","OK")))))</f>
        <v/>
      </c>
      <c r="AG40" s="26">
        <f>IF(COUNTA($A40:$K40)=0,"",IF(OR($A40="",$B40="",$C40="",$D40="",$E40="",$F40="",$H40=""),"Incompleta",IF(OR(COUNTIF($A$5:$A$204,$A40)&gt;1,NOT(ISNUMBER($B40)),COUNTIF(Produtos!$A$4:$A$103,$C40)&lt;&gt;1,IFERROR(INDEX(Produtos!$K$4:$K$103,MATCH($C40,Produtos!$A$4:$A$103,0))&lt;&gt;"Ativo",TRUE),IFERROR(INDEX(Produtos!$L$4:$L$103,MATCH($C40,Produtos!$A$4:$A$103,0))&lt;&gt;"OK",TRUE),COUNTIF(Regras!$A$4:$A$103,$D40)&lt;&gt;1,IFERROR(INDEX(Regras!$O$4:$O$103,MATCH($D40,Regras!$A$4:$A$103,0))&lt;&gt;"Sim",TRUE),IFERROR(INDEX(Regras!$P$4:$P$103,MATCH($D40,Regras!$A$4:$A$103,0))&lt;&gt;"OK",TRUE),NOT(ISNUMBER($E40)),$E40&lt;=0,NOT(ISNUMBER($F40)),$F40&lt;0,$F40&gt;5,NOT(ISNUMBER($H40)),$H40&lt;0,$H40&lt;&gt;INT($H40),AND($G40&lt;&gt;"",OR(NOT(ISNUMBER($G40)),$G40&lt;=0))),"Revisar","Pronta")))</f>
        <v/>
      </c>
    </row>
    <row r="41">
      <c r="A41" s="16" t="n"/>
      <c r="B41" s="24" t="n"/>
      <c r="C41" s="16" t="n"/>
      <c r="D41" s="16" t="n"/>
      <c r="E41" s="17" t="n"/>
      <c r="F41" s="18" t="n"/>
      <c r="G41" s="17" t="n"/>
      <c r="H41" s="20" t="n"/>
      <c r="I41" s="16" t="n"/>
      <c r="J41" s="17" t="n"/>
      <c r="K41" s="25" t="n"/>
      <c r="L41" s="26">
        <f>IF($C41="","",IFERROR(INDEX(Produtos!$B$4:$B$103,MATCH($C41,Produtos!$A$4:$A$103,0)),""))</f>
        <v/>
      </c>
      <c r="M41" s="26">
        <f>IF($C41="","",IFERROR(INDEX(Produtos!$C$4:$C$103,MATCH($C41,Produtos!$A$4:$A$103,0)),""))</f>
        <v/>
      </c>
      <c r="N41" s="19">
        <f>IF($C41="","",IFERROR(INDEX(Produtos!$D$4:$D$103,MATCH($C41,Produtos!$A$4:$A$103,0)),""))</f>
        <v/>
      </c>
      <c r="O41" s="27">
        <f>IF($C41="","",IFERROR(INDEX(Produtos!$E$4:$E$103,MATCH($C41,Produtos!$A$4:$A$103,0)),""))</f>
        <v/>
      </c>
      <c r="P41" s="19">
        <f>IF($C41="","",IFERROR(INDEX(Produtos!$G$4:$G$103,MATCH($C41,Produtos!$A$4:$A$103,0)),""))</f>
        <v/>
      </c>
      <c r="Q41" s="19">
        <f>IF($C41="","",IFERROR(INDEX(Produtos!$H$4:$H$103,MATCH($C41,Produtos!$A$4:$A$103,0)),""))</f>
        <v/>
      </c>
      <c r="R41" s="19">
        <f>IF($C41="","",IFERROR(INDEX(Produtos!$I$4:$I$103,MATCH($C41,Produtos!$A$4:$A$103,0)),""))</f>
        <v/>
      </c>
      <c r="S41" s="28">
        <f>IF($C41="","",IFERROR(INDEX(Produtos!$J$4:$J$103,MATCH($C41,Produtos!$A$4:$A$103,0)),""))</f>
        <v/>
      </c>
      <c r="T41" s="27">
        <f>IF($AG41&lt;&gt;"Pronta","",IFERROR(IF($F41&lt;=INDEX(Regras!$C$4:$C$103,MATCH($D41,Regras!$A$4:$A$103,0)),INDEX(Regras!$E$4:$E$103,MATCH($D41,Regras!$A$4:$A$103,0)),IF($F41&gt;=INDEX(Regras!$D$4:$D$103,MATCH($D41,Regras!$A$4:$A$103,0)),INDEX(Regras!$F$4:$F$103,MATCH($D41,Regras!$A$4:$A$103,0)),0)),""))</f>
        <v/>
      </c>
      <c r="U41" s="27">
        <f>IF($AG41&lt;&gt;"Pronta","",IFERROR(IF($G41="",0,IF($G41&lt;=$E41*(1-INDEX(Regras!$G$4:$G$103,MATCH($D41,Regras!$A$4:$A$103,0))),INDEX(Regras!$H$4:$H$103,MATCH($D41,Regras!$A$4:$A$103,0)),IF($G41&gt;=$E41*(1+INDEX(Regras!$G$4:$G$103,MATCH($D41,Regras!$A$4:$A$103,0))),INDEX(Regras!$I$4:$I$103,MATCH($D41,Regras!$A$4:$A$103,0)),0))),""))</f>
        <v/>
      </c>
      <c r="V41" s="27">
        <f>IF($AG41&lt;&gt;"Pronta","",IFERROR(IF($H41/$S41&lt;=INDEX(Regras!$J$4:$J$103,MATCH($D41,Regras!$A$4:$A$103,0)),INDEX(Regras!$L$4:$L$103,MATCH($D41,Regras!$A$4:$A$103,0)),IF($H41/$S41&gt;=INDEX(Regras!$K$4:$K$103,MATCH($D41,Regras!$A$4:$A$103,0)),INDEX(Regras!$M$4:$M$103,MATCH($D41,Regras!$A$4:$A$103,0)),0)),""))</f>
        <v/>
      </c>
      <c r="W41" s="27">
        <f>IF($AG41&lt;&gt;"Pronta","",SUM($T41:$V41))</f>
        <v/>
      </c>
      <c r="X41" s="27">
        <f>IF($AG41&lt;&gt;"Pronta","",IFERROR(MAX(-INDEX(Regras!$N$4:$N$103,MATCH($D41,Regras!$A$4:$A$103,0)),MIN(INDEX(Regras!$N$4:$N$103,MATCH($D41,Regras!$A$4:$A$103,0)),$W41)),""))</f>
        <v/>
      </c>
      <c r="Y41" s="19">
        <f>IF($AG41&lt;&gt;"Pronta","",IFERROR(ROUND($E41*(1+$X41),2),""))</f>
        <v/>
      </c>
      <c r="Z41" s="29">
        <f>IF(OR($AG41&lt;&gt;"Pronta",$Q41="",$R41=""),"",IFERROR(ROUND(MIN($R41,MAX($Q41,$Y41)),2),""))</f>
        <v/>
      </c>
      <c r="AA41" s="27">
        <f>IF(OR($E41="",$Z41=""),"",IFERROR($Z41/$E41-1,""))</f>
        <v/>
      </c>
      <c r="AB41" s="26">
        <f>IF($Z41="","",IF($Y41&lt;$Q41,"Piso",IF($Y41&gt;$R41,"Teto","Nenhuma")))</f>
        <v/>
      </c>
      <c r="AC41" s="21">
        <f>IF($A41="","",IF($AG41&lt;&gt;"Pronta","Aguardando dados válidos",_xlfn.TEXTJOIN(" | ",TRUE,IF($T41&gt;0,"Demanda: aumento",IF($T41&lt;0,"Demanda: redução","")),IF($U41&gt;0,"Concorrência: aumento",IF($U41&lt;0,"Concorrência: redução","")),IF($V41&gt;0,"Estoque: aumento",IF($V41&lt;0,"Estoque: redução","")),IF(ABS($W41-$X41)&gt;0.0000001,"Limite da rodada aplicado",""),IF($AB41="Piso","Piso vigente aplicado",IF($AB41="Teto","Teto aplicado","")),IF(AND($T41=0,$U41=0,$V41=0),"Sem gatilho de reajuste",""))))</f>
        <v/>
      </c>
      <c r="AD41" s="21">
        <f>IF(OR($A41="",$AG41&lt;&gt;"Pronta"),"",_xlfn.TEXTJOIN(" | ",TRUE,IF($E41&lt;$Q41,"Preço atual abaixo do piso",""),IF($E41&gt;$R41,"Preço atual acima do teto",""),IF(AND($N41&gt;0,$E41&gt;0,1-$N41/$E41&lt;$O41),"Margem estimada do preço atual abaixo do mínimo",""),IF($G41="","Preço concorrente não informado",""),IF($AB41="Piso","Recomendação travada no piso",""),IF($AB41="Teto","Recomendação travada no teto","")))</f>
        <v/>
      </c>
      <c r="AE41" s="19">
        <f>IF($AG41&lt;&gt;"Pronta","",IF($I41="Aprovar recomendação",$Z41,IF($I41="Manter preço atual",$E41,IF($I41="Definir manualmente",$J41,""))))</f>
        <v/>
      </c>
      <c r="AF41" s="21">
        <f>IF($A41="","",IF($AG41&lt;&gt;"Pronta","Aguardando correção",IF(OR($I41="",$I41="Pendente"),"Decisão pendente",IF(AND($I41="Definir manualmente",OR($J41="",$J41&lt;=0)),"Informe o preço manual",IF(OR($AE41&lt;$Q41,$AE41&gt;$R41),"Preço final fora do piso/teto","OK")))))</f>
        <v/>
      </c>
      <c r="AG41" s="26">
        <f>IF(COUNTA($A41:$K41)=0,"",IF(OR($A41="",$B41="",$C41="",$D41="",$E41="",$F41="",$H41=""),"Incompleta",IF(OR(COUNTIF($A$5:$A$204,$A41)&gt;1,NOT(ISNUMBER($B41)),COUNTIF(Produtos!$A$4:$A$103,$C41)&lt;&gt;1,IFERROR(INDEX(Produtos!$K$4:$K$103,MATCH($C41,Produtos!$A$4:$A$103,0))&lt;&gt;"Ativo",TRUE),IFERROR(INDEX(Produtos!$L$4:$L$103,MATCH($C41,Produtos!$A$4:$A$103,0))&lt;&gt;"OK",TRUE),COUNTIF(Regras!$A$4:$A$103,$D41)&lt;&gt;1,IFERROR(INDEX(Regras!$O$4:$O$103,MATCH($D41,Regras!$A$4:$A$103,0))&lt;&gt;"Sim",TRUE),IFERROR(INDEX(Regras!$P$4:$P$103,MATCH($D41,Regras!$A$4:$A$103,0))&lt;&gt;"OK",TRUE),NOT(ISNUMBER($E41)),$E41&lt;=0,NOT(ISNUMBER($F41)),$F41&lt;0,$F41&gt;5,NOT(ISNUMBER($H41)),$H41&lt;0,$H41&lt;&gt;INT($H41),AND($G41&lt;&gt;"",OR(NOT(ISNUMBER($G41)),$G41&lt;=0))),"Revisar","Pronta")))</f>
        <v/>
      </c>
    </row>
    <row r="42">
      <c r="A42" s="16" t="n"/>
      <c r="B42" s="24" t="n"/>
      <c r="C42" s="16" t="n"/>
      <c r="D42" s="16" t="n"/>
      <c r="E42" s="17" t="n"/>
      <c r="F42" s="18" t="n"/>
      <c r="G42" s="17" t="n"/>
      <c r="H42" s="20" t="n"/>
      <c r="I42" s="16" t="n"/>
      <c r="J42" s="17" t="n"/>
      <c r="K42" s="25" t="n"/>
      <c r="L42" s="26">
        <f>IF($C42="","",IFERROR(INDEX(Produtos!$B$4:$B$103,MATCH($C42,Produtos!$A$4:$A$103,0)),""))</f>
        <v/>
      </c>
      <c r="M42" s="26">
        <f>IF($C42="","",IFERROR(INDEX(Produtos!$C$4:$C$103,MATCH($C42,Produtos!$A$4:$A$103,0)),""))</f>
        <v/>
      </c>
      <c r="N42" s="19">
        <f>IF($C42="","",IFERROR(INDEX(Produtos!$D$4:$D$103,MATCH($C42,Produtos!$A$4:$A$103,0)),""))</f>
        <v/>
      </c>
      <c r="O42" s="27">
        <f>IF($C42="","",IFERROR(INDEX(Produtos!$E$4:$E$103,MATCH($C42,Produtos!$A$4:$A$103,0)),""))</f>
        <v/>
      </c>
      <c r="P42" s="19">
        <f>IF($C42="","",IFERROR(INDEX(Produtos!$G$4:$G$103,MATCH($C42,Produtos!$A$4:$A$103,0)),""))</f>
        <v/>
      </c>
      <c r="Q42" s="19">
        <f>IF($C42="","",IFERROR(INDEX(Produtos!$H$4:$H$103,MATCH($C42,Produtos!$A$4:$A$103,0)),""))</f>
        <v/>
      </c>
      <c r="R42" s="19">
        <f>IF($C42="","",IFERROR(INDEX(Produtos!$I$4:$I$103,MATCH($C42,Produtos!$A$4:$A$103,0)),""))</f>
        <v/>
      </c>
      <c r="S42" s="28">
        <f>IF($C42="","",IFERROR(INDEX(Produtos!$J$4:$J$103,MATCH($C42,Produtos!$A$4:$A$103,0)),""))</f>
        <v/>
      </c>
      <c r="T42" s="27">
        <f>IF($AG42&lt;&gt;"Pronta","",IFERROR(IF($F42&lt;=INDEX(Regras!$C$4:$C$103,MATCH($D42,Regras!$A$4:$A$103,0)),INDEX(Regras!$E$4:$E$103,MATCH($D42,Regras!$A$4:$A$103,0)),IF($F42&gt;=INDEX(Regras!$D$4:$D$103,MATCH($D42,Regras!$A$4:$A$103,0)),INDEX(Regras!$F$4:$F$103,MATCH($D42,Regras!$A$4:$A$103,0)),0)),""))</f>
        <v/>
      </c>
      <c r="U42" s="27">
        <f>IF($AG42&lt;&gt;"Pronta","",IFERROR(IF($G42="",0,IF($G42&lt;=$E42*(1-INDEX(Regras!$G$4:$G$103,MATCH($D42,Regras!$A$4:$A$103,0))),INDEX(Regras!$H$4:$H$103,MATCH($D42,Regras!$A$4:$A$103,0)),IF($G42&gt;=$E42*(1+INDEX(Regras!$G$4:$G$103,MATCH($D42,Regras!$A$4:$A$103,0))),INDEX(Regras!$I$4:$I$103,MATCH($D42,Regras!$A$4:$A$103,0)),0))),""))</f>
        <v/>
      </c>
      <c r="V42" s="27">
        <f>IF($AG42&lt;&gt;"Pronta","",IFERROR(IF($H42/$S42&lt;=INDEX(Regras!$J$4:$J$103,MATCH($D42,Regras!$A$4:$A$103,0)),INDEX(Regras!$L$4:$L$103,MATCH($D42,Regras!$A$4:$A$103,0)),IF($H42/$S42&gt;=INDEX(Regras!$K$4:$K$103,MATCH($D42,Regras!$A$4:$A$103,0)),INDEX(Regras!$M$4:$M$103,MATCH($D42,Regras!$A$4:$A$103,0)),0)),""))</f>
        <v/>
      </c>
      <c r="W42" s="27">
        <f>IF($AG42&lt;&gt;"Pronta","",SUM($T42:$V42))</f>
        <v/>
      </c>
      <c r="X42" s="27">
        <f>IF($AG42&lt;&gt;"Pronta","",IFERROR(MAX(-INDEX(Regras!$N$4:$N$103,MATCH($D42,Regras!$A$4:$A$103,0)),MIN(INDEX(Regras!$N$4:$N$103,MATCH($D42,Regras!$A$4:$A$103,0)),$W42)),""))</f>
        <v/>
      </c>
      <c r="Y42" s="19">
        <f>IF($AG42&lt;&gt;"Pronta","",IFERROR(ROUND($E42*(1+$X42),2),""))</f>
        <v/>
      </c>
      <c r="Z42" s="29">
        <f>IF(OR($AG42&lt;&gt;"Pronta",$Q42="",$R42=""),"",IFERROR(ROUND(MIN($R42,MAX($Q42,$Y42)),2),""))</f>
        <v/>
      </c>
      <c r="AA42" s="27">
        <f>IF(OR($E42="",$Z42=""),"",IFERROR($Z42/$E42-1,""))</f>
        <v/>
      </c>
      <c r="AB42" s="26">
        <f>IF($Z42="","",IF($Y42&lt;$Q42,"Piso",IF($Y42&gt;$R42,"Teto","Nenhuma")))</f>
        <v/>
      </c>
      <c r="AC42" s="21">
        <f>IF($A42="","",IF($AG42&lt;&gt;"Pronta","Aguardando dados válidos",_xlfn.TEXTJOIN(" | ",TRUE,IF($T42&gt;0,"Demanda: aumento",IF($T42&lt;0,"Demanda: redução","")),IF($U42&gt;0,"Concorrência: aumento",IF($U42&lt;0,"Concorrência: redução","")),IF($V42&gt;0,"Estoque: aumento",IF($V42&lt;0,"Estoque: redução","")),IF(ABS($W42-$X42)&gt;0.0000001,"Limite da rodada aplicado",""),IF($AB42="Piso","Piso vigente aplicado",IF($AB42="Teto","Teto aplicado","")),IF(AND($T42=0,$U42=0,$V42=0),"Sem gatilho de reajuste",""))))</f>
        <v/>
      </c>
      <c r="AD42" s="21">
        <f>IF(OR($A42="",$AG42&lt;&gt;"Pronta"),"",_xlfn.TEXTJOIN(" | ",TRUE,IF($E42&lt;$Q42,"Preço atual abaixo do piso",""),IF($E42&gt;$R42,"Preço atual acima do teto",""),IF(AND($N42&gt;0,$E42&gt;0,1-$N42/$E42&lt;$O42),"Margem estimada do preço atual abaixo do mínimo",""),IF($G42="","Preço concorrente não informado",""),IF($AB42="Piso","Recomendação travada no piso",""),IF($AB42="Teto","Recomendação travada no teto","")))</f>
        <v/>
      </c>
      <c r="AE42" s="19">
        <f>IF($AG42&lt;&gt;"Pronta","",IF($I42="Aprovar recomendação",$Z42,IF($I42="Manter preço atual",$E42,IF($I42="Definir manualmente",$J42,""))))</f>
        <v/>
      </c>
      <c r="AF42" s="21">
        <f>IF($A42="","",IF($AG42&lt;&gt;"Pronta","Aguardando correção",IF(OR($I42="",$I42="Pendente"),"Decisão pendente",IF(AND($I42="Definir manualmente",OR($J42="",$J42&lt;=0)),"Informe o preço manual",IF(OR($AE42&lt;$Q42,$AE42&gt;$R42),"Preço final fora do piso/teto","OK")))))</f>
        <v/>
      </c>
      <c r="AG42" s="26">
        <f>IF(COUNTA($A42:$K42)=0,"",IF(OR($A42="",$B42="",$C42="",$D42="",$E42="",$F42="",$H42=""),"Incompleta",IF(OR(COUNTIF($A$5:$A$204,$A42)&gt;1,NOT(ISNUMBER($B42)),COUNTIF(Produtos!$A$4:$A$103,$C42)&lt;&gt;1,IFERROR(INDEX(Produtos!$K$4:$K$103,MATCH($C42,Produtos!$A$4:$A$103,0))&lt;&gt;"Ativo",TRUE),IFERROR(INDEX(Produtos!$L$4:$L$103,MATCH($C42,Produtos!$A$4:$A$103,0))&lt;&gt;"OK",TRUE),COUNTIF(Regras!$A$4:$A$103,$D42)&lt;&gt;1,IFERROR(INDEX(Regras!$O$4:$O$103,MATCH($D42,Regras!$A$4:$A$103,0))&lt;&gt;"Sim",TRUE),IFERROR(INDEX(Regras!$P$4:$P$103,MATCH($D42,Regras!$A$4:$A$103,0))&lt;&gt;"OK",TRUE),NOT(ISNUMBER($E42)),$E42&lt;=0,NOT(ISNUMBER($F42)),$F42&lt;0,$F42&gt;5,NOT(ISNUMBER($H42)),$H42&lt;0,$H42&lt;&gt;INT($H42),AND($G42&lt;&gt;"",OR(NOT(ISNUMBER($G42)),$G42&lt;=0))),"Revisar","Pronta")))</f>
        <v/>
      </c>
    </row>
    <row r="43">
      <c r="A43" s="16" t="n"/>
      <c r="B43" s="24" t="n"/>
      <c r="C43" s="16" t="n"/>
      <c r="D43" s="16" t="n"/>
      <c r="E43" s="17" t="n"/>
      <c r="F43" s="18" t="n"/>
      <c r="G43" s="17" t="n"/>
      <c r="H43" s="20" t="n"/>
      <c r="I43" s="16" t="n"/>
      <c r="J43" s="17" t="n"/>
      <c r="K43" s="25" t="n"/>
      <c r="L43" s="26">
        <f>IF($C43="","",IFERROR(INDEX(Produtos!$B$4:$B$103,MATCH($C43,Produtos!$A$4:$A$103,0)),""))</f>
        <v/>
      </c>
      <c r="M43" s="26">
        <f>IF($C43="","",IFERROR(INDEX(Produtos!$C$4:$C$103,MATCH($C43,Produtos!$A$4:$A$103,0)),""))</f>
        <v/>
      </c>
      <c r="N43" s="19">
        <f>IF($C43="","",IFERROR(INDEX(Produtos!$D$4:$D$103,MATCH($C43,Produtos!$A$4:$A$103,0)),""))</f>
        <v/>
      </c>
      <c r="O43" s="27">
        <f>IF($C43="","",IFERROR(INDEX(Produtos!$E$4:$E$103,MATCH($C43,Produtos!$A$4:$A$103,0)),""))</f>
        <v/>
      </c>
      <c r="P43" s="19">
        <f>IF($C43="","",IFERROR(INDEX(Produtos!$G$4:$G$103,MATCH($C43,Produtos!$A$4:$A$103,0)),""))</f>
        <v/>
      </c>
      <c r="Q43" s="19">
        <f>IF($C43="","",IFERROR(INDEX(Produtos!$H$4:$H$103,MATCH($C43,Produtos!$A$4:$A$103,0)),""))</f>
        <v/>
      </c>
      <c r="R43" s="19">
        <f>IF($C43="","",IFERROR(INDEX(Produtos!$I$4:$I$103,MATCH($C43,Produtos!$A$4:$A$103,0)),""))</f>
        <v/>
      </c>
      <c r="S43" s="28">
        <f>IF($C43="","",IFERROR(INDEX(Produtos!$J$4:$J$103,MATCH($C43,Produtos!$A$4:$A$103,0)),""))</f>
        <v/>
      </c>
      <c r="T43" s="27">
        <f>IF($AG43&lt;&gt;"Pronta","",IFERROR(IF($F43&lt;=INDEX(Regras!$C$4:$C$103,MATCH($D43,Regras!$A$4:$A$103,0)),INDEX(Regras!$E$4:$E$103,MATCH($D43,Regras!$A$4:$A$103,0)),IF($F43&gt;=INDEX(Regras!$D$4:$D$103,MATCH($D43,Regras!$A$4:$A$103,0)),INDEX(Regras!$F$4:$F$103,MATCH($D43,Regras!$A$4:$A$103,0)),0)),""))</f>
        <v/>
      </c>
      <c r="U43" s="27">
        <f>IF($AG43&lt;&gt;"Pronta","",IFERROR(IF($G43="",0,IF($G43&lt;=$E43*(1-INDEX(Regras!$G$4:$G$103,MATCH($D43,Regras!$A$4:$A$103,0))),INDEX(Regras!$H$4:$H$103,MATCH($D43,Regras!$A$4:$A$103,0)),IF($G43&gt;=$E43*(1+INDEX(Regras!$G$4:$G$103,MATCH($D43,Regras!$A$4:$A$103,0))),INDEX(Regras!$I$4:$I$103,MATCH($D43,Regras!$A$4:$A$103,0)),0))),""))</f>
        <v/>
      </c>
      <c r="V43" s="27">
        <f>IF($AG43&lt;&gt;"Pronta","",IFERROR(IF($H43/$S43&lt;=INDEX(Regras!$J$4:$J$103,MATCH($D43,Regras!$A$4:$A$103,0)),INDEX(Regras!$L$4:$L$103,MATCH($D43,Regras!$A$4:$A$103,0)),IF($H43/$S43&gt;=INDEX(Regras!$K$4:$K$103,MATCH($D43,Regras!$A$4:$A$103,0)),INDEX(Regras!$M$4:$M$103,MATCH($D43,Regras!$A$4:$A$103,0)),0)),""))</f>
        <v/>
      </c>
      <c r="W43" s="27">
        <f>IF($AG43&lt;&gt;"Pronta","",SUM($T43:$V43))</f>
        <v/>
      </c>
      <c r="X43" s="27">
        <f>IF($AG43&lt;&gt;"Pronta","",IFERROR(MAX(-INDEX(Regras!$N$4:$N$103,MATCH($D43,Regras!$A$4:$A$103,0)),MIN(INDEX(Regras!$N$4:$N$103,MATCH($D43,Regras!$A$4:$A$103,0)),$W43)),""))</f>
        <v/>
      </c>
      <c r="Y43" s="19">
        <f>IF($AG43&lt;&gt;"Pronta","",IFERROR(ROUND($E43*(1+$X43),2),""))</f>
        <v/>
      </c>
      <c r="Z43" s="29">
        <f>IF(OR($AG43&lt;&gt;"Pronta",$Q43="",$R43=""),"",IFERROR(ROUND(MIN($R43,MAX($Q43,$Y43)),2),""))</f>
        <v/>
      </c>
      <c r="AA43" s="27">
        <f>IF(OR($E43="",$Z43=""),"",IFERROR($Z43/$E43-1,""))</f>
        <v/>
      </c>
      <c r="AB43" s="26">
        <f>IF($Z43="","",IF($Y43&lt;$Q43,"Piso",IF($Y43&gt;$R43,"Teto","Nenhuma")))</f>
        <v/>
      </c>
      <c r="AC43" s="21">
        <f>IF($A43="","",IF($AG43&lt;&gt;"Pronta","Aguardando dados válidos",_xlfn.TEXTJOIN(" | ",TRUE,IF($T43&gt;0,"Demanda: aumento",IF($T43&lt;0,"Demanda: redução","")),IF($U43&gt;0,"Concorrência: aumento",IF($U43&lt;0,"Concorrência: redução","")),IF($V43&gt;0,"Estoque: aumento",IF($V43&lt;0,"Estoque: redução","")),IF(ABS($W43-$X43)&gt;0.0000001,"Limite da rodada aplicado",""),IF($AB43="Piso","Piso vigente aplicado",IF($AB43="Teto","Teto aplicado","")),IF(AND($T43=0,$U43=0,$V43=0),"Sem gatilho de reajuste",""))))</f>
        <v/>
      </c>
      <c r="AD43" s="21">
        <f>IF(OR($A43="",$AG43&lt;&gt;"Pronta"),"",_xlfn.TEXTJOIN(" | ",TRUE,IF($E43&lt;$Q43,"Preço atual abaixo do piso",""),IF($E43&gt;$R43,"Preço atual acima do teto",""),IF(AND($N43&gt;0,$E43&gt;0,1-$N43/$E43&lt;$O43),"Margem estimada do preço atual abaixo do mínimo",""),IF($G43="","Preço concorrente não informado",""),IF($AB43="Piso","Recomendação travada no piso",""),IF($AB43="Teto","Recomendação travada no teto","")))</f>
        <v/>
      </c>
      <c r="AE43" s="19">
        <f>IF($AG43&lt;&gt;"Pronta","",IF($I43="Aprovar recomendação",$Z43,IF($I43="Manter preço atual",$E43,IF($I43="Definir manualmente",$J43,""))))</f>
        <v/>
      </c>
      <c r="AF43" s="21">
        <f>IF($A43="","",IF($AG43&lt;&gt;"Pronta","Aguardando correção",IF(OR($I43="",$I43="Pendente"),"Decisão pendente",IF(AND($I43="Definir manualmente",OR($J43="",$J43&lt;=0)),"Informe o preço manual",IF(OR($AE43&lt;$Q43,$AE43&gt;$R43),"Preço final fora do piso/teto","OK")))))</f>
        <v/>
      </c>
      <c r="AG43" s="26">
        <f>IF(COUNTA($A43:$K43)=0,"",IF(OR($A43="",$B43="",$C43="",$D43="",$E43="",$F43="",$H43=""),"Incompleta",IF(OR(COUNTIF($A$5:$A$204,$A43)&gt;1,NOT(ISNUMBER($B43)),COUNTIF(Produtos!$A$4:$A$103,$C43)&lt;&gt;1,IFERROR(INDEX(Produtos!$K$4:$K$103,MATCH($C43,Produtos!$A$4:$A$103,0))&lt;&gt;"Ativo",TRUE),IFERROR(INDEX(Produtos!$L$4:$L$103,MATCH($C43,Produtos!$A$4:$A$103,0))&lt;&gt;"OK",TRUE),COUNTIF(Regras!$A$4:$A$103,$D43)&lt;&gt;1,IFERROR(INDEX(Regras!$O$4:$O$103,MATCH($D43,Regras!$A$4:$A$103,0))&lt;&gt;"Sim",TRUE),IFERROR(INDEX(Regras!$P$4:$P$103,MATCH($D43,Regras!$A$4:$A$103,0))&lt;&gt;"OK",TRUE),NOT(ISNUMBER($E43)),$E43&lt;=0,NOT(ISNUMBER($F43)),$F43&lt;0,$F43&gt;5,NOT(ISNUMBER($H43)),$H43&lt;0,$H43&lt;&gt;INT($H43),AND($G43&lt;&gt;"",OR(NOT(ISNUMBER($G43)),$G43&lt;=0))),"Revisar","Pronta")))</f>
        <v/>
      </c>
    </row>
    <row r="44">
      <c r="A44" s="16" t="n"/>
      <c r="B44" s="24" t="n"/>
      <c r="C44" s="16" t="n"/>
      <c r="D44" s="16" t="n"/>
      <c r="E44" s="17" t="n"/>
      <c r="F44" s="18" t="n"/>
      <c r="G44" s="17" t="n"/>
      <c r="H44" s="20" t="n"/>
      <c r="I44" s="16" t="n"/>
      <c r="J44" s="17" t="n"/>
      <c r="K44" s="25" t="n"/>
      <c r="L44" s="26">
        <f>IF($C44="","",IFERROR(INDEX(Produtos!$B$4:$B$103,MATCH($C44,Produtos!$A$4:$A$103,0)),""))</f>
        <v/>
      </c>
      <c r="M44" s="26">
        <f>IF($C44="","",IFERROR(INDEX(Produtos!$C$4:$C$103,MATCH($C44,Produtos!$A$4:$A$103,0)),""))</f>
        <v/>
      </c>
      <c r="N44" s="19">
        <f>IF($C44="","",IFERROR(INDEX(Produtos!$D$4:$D$103,MATCH($C44,Produtos!$A$4:$A$103,0)),""))</f>
        <v/>
      </c>
      <c r="O44" s="27">
        <f>IF($C44="","",IFERROR(INDEX(Produtos!$E$4:$E$103,MATCH($C44,Produtos!$A$4:$A$103,0)),""))</f>
        <v/>
      </c>
      <c r="P44" s="19">
        <f>IF($C44="","",IFERROR(INDEX(Produtos!$G$4:$G$103,MATCH($C44,Produtos!$A$4:$A$103,0)),""))</f>
        <v/>
      </c>
      <c r="Q44" s="19">
        <f>IF($C44="","",IFERROR(INDEX(Produtos!$H$4:$H$103,MATCH($C44,Produtos!$A$4:$A$103,0)),""))</f>
        <v/>
      </c>
      <c r="R44" s="19">
        <f>IF($C44="","",IFERROR(INDEX(Produtos!$I$4:$I$103,MATCH($C44,Produtos!$A$4:$A$103,0)),""))</f>
        <v/>
      </c>
      <c r="S44" s="28">
        <f>IF($C44="","",IFERROR(INDEX(Produtos!$J$4:$J$103,MATCH($C44,Produtos!$A$4:$A$103,0)),""))</f>
        <v/>
      </c>
      <c r="T44" s="27">
        <f>IF($AG44&lt;&gt;"Pronta","",IFERROR(IF($F44&lt;=INDEX(Regras!$C$4:$C$103,MATCH($D44,Regras!$A$4:$A$103,0)),INDEX(Regras!$E$4:$E$103,MATCH($D44,Regras!$A$4:$A$103,0)),IF($F44&gt;=INDEX(Regras!$D$4:$D$103,MATCH($D44,Regras!$A$4:$A$103,0)),INDEX(Regras!$F$4:$F$103,MATCH($D44,Regras!$A$4:$A$103,0)),0)),""))</f>
        <v/>
      </c>
      <c r="U44" s="27">
        <f>IF($AG44&lt;&gt;"Pronta","",IFERROR(IF($G44="",0,IF($G44&lt;=$E44*(1-INDEX(Regras!$G$4:$G$103,MATCH($D44,Regras!$A$4:$A$103,0))),INDEX(Regras!$H$4:$H$103,MATCH($D44,Regras!$A$4:$A$103,0)),IF($G44&gt;=$E44*(1+INDEX(Regras!$G$4:$G$103,MATCH($D44,Regras!$A$4:$A$103,0))),INDEX(Regras!$I$4:$I$103,MATCH($D44,Regras!$A$4:$A$103,0)),0))),""))</f>
        <v/>
      </c>
      <c r="V44" s="27">
        <f>IF($AG44&lt;&gt;"Pronta","",IFERROR(IF($H44/$S44&lt;=INDEX(Regras!$J$4:$J$103,MATCH($D44,Regras!$A$4:$A$103,0)),INDEX(Regras!$L$4:$L$103,MATCH($D44,Regras!$A$4:$A$103,0)),IF($H44/$S44&gt;=INDEX(Regras!$K$4:$K$103,MATCH($D44,Regras!$A$4:$A$103,0)),INDEX(Regras!$M$4:$M$103,MATCH($D44,Regras!$A$4:$A$103,0)),0)),""))</f>
        <v/>
      </c>
      <c r="W44" s="27">
        <f>IF($AG44&lt;&gt;"Pronta","",SUM($T44:$V44))</f>
        <v/>
      </c>
      <c r="X44" s="27">
        <f>IF($AG44&lt;&gt;"Pronta","",IFERROR(MAX(-INDEX(Regras!$N$4:$N$103,MATCH($D44,Regras!$A$4:$A$103,0)),MIN(INDEX(Regras!$N$4:$N$103,MATCH($D44,Regras!$A$4:$A$103,0)),$W44)),""))</f>
        <v/>
      </c>
      <c r="Y44" s="19">
        <f>IF($AG44&lt;&gt;"Pronta","",IFERROR(ROUND($E44*(1+$X44),2),""))</f>
        <v/>
      </c>
      <c r="Z44" s="29">
        <f>IF(OR($AG44&lt;&gt;"Pronta",$Q44="",$R44=""),"",IFERROR(ROUND(MIN($R44,MAX($Q44,$Y44)),2),""))</f>
        <v/>
      </c>
      <c r="AA44" s="27">
        <f>IF(OR($E44="",$Z44=""),"",IFERROR($Z44/$E44-1,""))</f>
        <v/>
      </c>
      <c r="AB44" s="26">
        <f>IF($Z44="","",IF($Y44&lt;$Q44,"Piso",IF($Y44&gt;$R44,"Teto","Nenhuma")))</f>
        <v/>
      </c>
      <c r="AC44" s="21">
        <f>IF($A44="","",IF($AG44&lt;&gt;"Pronta","Aguardando dados válidos",_xlfn.TEXTJOIN(" | ",TRUE,IF($T44&gt;0,"Demanda: aumento",IF($T44&lt;0,"Demanda: redução","")),IF($U44&gt;0,"Concorrência: aumento",IF($U44&lt;0,"Concorrência: redução","")),IF($V44&gt;0,"Estoque: aumento",IF($V44&lt;0,"Estoque: redução","")),IF(ABS($W44-$X44)&gt;0.0000001,"Limite da rodada aplicado",""),IF($AB44="Piso","Piso vigente aplicado",IF($AB44="Teto","Teto aplicado","")),IF(AND($T44=0,$U44=0,$V44=0),"Sem gatilho de reajuste",""))))</f>
        <v/>
      </c>
      <c r="AD44" s="21">
        <f>IF(OR($A44="",$AG44&lt;&gt;"Pronta"),"",_xlfn.TEXTJOIN(" | ",TRUE,IF($E44&lt;$Q44,"Preço atual abaixo do piso",""),IF($E44&gt;$R44,"Preço atual acima do teto",""),IF(AND($N44&gt;0,$E44&gt;0,1-$N44/$E44&lt;$O44),"Margem estimada do preço atual abaixo do mínimo",""),IF($G44="","Preço concorrente não informado",""),IF($AB44="Piso","Recomendação travada no piso",""),IF($AB44="Teto","Recomendação travada no teto","")))</f>
        <v/>
      </c>
      <c r="AE44" s="19">
        <f>IF($AG44&lt;&gt;"Pronta","",IF($I44="Aprovar recomendação",$Z44,IF($I44="Manter preço atual",$E44,IF($I44="Definir manualmente",$J44,""))))</f>
        <v/>
      </c>
      <c r="AF44" s="21">
        <f>IF($A44="","",IF($AG44&lt;&gt;"Pronta","Aguardando correção",IF(OR($I44="",$I44="Pendente"),"Decisão pendente",IF(AND($I44="Definir manualmente",OR($J44="",$J44&lt;=0)),"Informe o preço manual",IF(OR($AE44&lt;$Q44,$AE44&gt;$R44),"Preço final fora do piso/teto","OK")))))</f>
        <v/>
      </c>
      <c r="AG44" s="26">
        <f>IF(COUNTA($A44:$K44)=0,"",IF(OR($A44="",$B44="",$C44="",$D44="",$E44="",$F44="",$H44=""),"Incompleta",IF(OR(COUNTIF($A$5:$A$204,$A44)&gt;1,NOT(ISNUMBER($B44)),COUNTIF(Produtos!$A$4:$A$103,$C44)&lt;&gt;1,IFERROR(INDEX(Produtos!$K$4:$K$103,MATCH($C44,Produtos!$A$4:$A$103,0))&lt;&gt;"Ativo",TRUE),IFERROR(INDEX(Produtos!$L$4:$L$103,MATCH($C44,Produtos!$A$4:$A$103,0))&lt;&gt;"OK",TRUE),COUNTIF(Regras!$A$4:$A$103,$D44)&lt;&gt;1,IFERROR(INDEX(Regras!$O$4:$O$103,MATCH($D44,Regras!$A$4:$A$103,0))&lt;&gt;"Sim",TRUE),IFERROR(INDEX(Regras!$P$4:$P$103,MATCH($D44,Regras!$A$4:$A$103,0))&lt;&gt;"OK",TRUE),NOT(ISNUMBER($E44)),$E44&lt;=0,NOT(ISNUMBER($F44)),$F44&lt;0,$F44&gt;5,NOT(ISNUMBER($H44)),$H44&lt;0,$H44&lt;&gt;INT($H44),AND($G44&lt;&gt;"",OR(NOT(ISNUMBER($G44)),$G44&lt;=0))),"Revisar","Pronta")))</f>
        <v/>
      </c>
    </row>
    <row r="45">
      <c r="A45" s="16" t="n"/>
      <c r="B45" s="24" t="n"/>
      <c r="C45" s="16" t="n"/>
      <c r="D45" s="16" t="n"/>
      <c r="E45" s="17" t="n"/>
      <c r="F45" s="18" t="n"/>
      <c r="G45" s="17" t="n"/>
      <c r="H45" s="20" t="n"/>
      <c r="I45" s="16" t="n"/>
      <c r="J45" s="17" t="n"/>
      <c r="K45" s="25" t="n"/>
      <c r="L45" s="26">
        <f>IF($C45="","",IFERROR(INDEX(Produtos!$B$4:$B$103,MATCH($C45,Produtos!$A$4:$A$103,0)),""))</f>
        <v/>
      </c>
      <c r="M45" s="26">
        <f>IF($C45="","",IFERROR(INDEX(Produtos!$C$4:$C$103,MATCH($C45,Produtos!$A$4:$A$103,0)),""))</f>
        <v/>
      </c>
      <c r="N45" s="19">
        <f>IF($C45="","",IFERROR(INDEX(Produtos!$D$4:$D$103,MATCH($C45,Produtos!$A$4:$A$103,0)),""))</f>
        <v/>
      </c>
      <c r="O45" s="27">
        <f>IF($C45="","",IFERROR(INDEX(Produtos!$E$4:$E$103,MATCH($C45,Produtos!$A$4:$A$103,0)),""))</f>
        <v/>
      </c>
      <c r="P45" s="19">
        <f>IF($C45="","",IFERROR(INDEX(Produtos!$G$4:$G$103,MATCH($C45,Produtos!$A$4:$A$103,0)),""))</f>
        <v/>
      </c>
      <c r="Q45" s="19">
        <f>IF($C45="","",IFERROR(INDEX(Produtos!$H$4:$H$103,MATCH($C45,Produtos!$A$4:$A$103,0)),""))</f>
        <v/>
      </c>
      <c r="R45" s="19">
        <f>IF($C45="","",IFERROR(INDEX(Produtos!$I$4:$I$103,MATCH($C45,Produtos!$A$4:$A$103,0)),""))</f>
        <v/>
      </c>
      <c r="S45" s="28">
        <f>IF($C45="","",IFERROR(INDEX(Produtos!$J$4:$J$103,MATCH($C45,Produtos!$A$4:$A$103,0)),""))</f>
        <v/>
      </c>
      <c r="T45" s="27">
        <f>IF($AG45&lt;&gt;"Pronta","",IFERROR(IF($F45&lt;=INDEX(Regras!$C$4:$C$103,MATCH($D45,Regras!$A$4:$A$103,0)),INDEX(Regras!$E$4:$E$103,MATCH($D45,Regras!$A$4:$A$103,0)),IF($F45&gt;=INDEX(Regras!$D$4:$D$103,MATCH($D45,Regras!$A$4:$A$103,0)),INDEX(Regras!$F$4:$F$103,MATCH($D45,Regras!$A$4:$A$103,0)),0)),""))</f>
        <v/>
      </c>
      <c r="U45" s="27">
        <f>IF($AG45&lt;&gt;"Pronta","",IFERROR(IF($G45="",0,IF($G45&lt;=$E45*(1-INDEX(Regras!$G$4:$G$103,MATCH($D45,Regras!$A$4:$A$103,0))),INDEX(Regras!$H$4:$H$103,MATCH($D45,Regras!$A$4:$A$103,0)),IF($G45&gt;=$E45*(1+INDEX(Regras!$G$4:$G$103,MATCH($D45,Regras!$A$4:$A$103,0))),INDEX(Regras!$I$4:$I$103,MATCH($D45,Regras!$A$4:$A$103,0)),0))),""))</f>
        <v/>
      </c>
      <c r="V45" s="27">
        <f>IF($AG45&lt;&gt;"Pronta","",IFERROR(IF($H45/$S45&lt;=INDEX(Regras!$J$4:$J$103,MATCH($D45,Regras!$A$4:$A$103,0)),INDEX(Regras!$L$4:$L$103,MATCH($D45,Regras!$A$4:$A$103,0)),IF($H45/$S45&gt;=INDEX(Regras!$K$4:$K$103,MATCH($D45,Regras!$A$4:$A$103,0)),INDEX(Regras!$M$4:$M$103,MATCH($D45,Regras!$A$4:$A$103,0)),0)),""))</f>
        <v/>
      </c>
      <c r="W45" s="27">
        <f>IF($AG45&lt;&gt;"Pronta","",SUM($T45:$V45))</f>
        <v/>
      </c>
      <c r="X45" s="27">
        <f>IF($AG45&lt;&gt;"Pronta","",IFERROR(MAX(-INDEX(Regras!$N$4:$N$103,MATCH($D45,Regras!$A$4:$A$103,0)),MIN(INDEX(Regras!$N$4:$N$103,MATCH($D45,Regras!$A$4:$A$103,0)),$W45)),""))</f>
        <v/>
      </c>
      <c r="Y45" s="19">
        <f>IF($AG45&lt;&gt;"Pronta","",IFERROR(ROUND($E45*(1+$X45),2),""))</f>
        <v/>
      </c>
      <c r="Z45" s="29">
        <f>IF(OR($AG45&lt;&gt;"Pronta",$Q45="",$R45=""),"",IFERROR(ROUND(MIN($R45,MAX($Q45,$Y45)),2),""))</f>
        <v/>
      </c>
      <c r="AA45" s="27">
        <f>IF(OR($E45="",$Z45=""),"",IFERROR($Z45/$E45-1,""))</f>
        <v/>
      </c>
      <c r="AB45" s="26">
        <f>IF($Z45="","",IF($Y45&lt;$Q45,"Piso",IF($Y45&gt;$R45,"Teto","Nenhuma")))</f>
        <v/>
      </c>
      <c r="AC45" s="21">
        <f>IF($A45="","",IF($AG45&lt;&gt;"Pronta","Aguardando dados válidos",_xlfn.TEXTJOIN(" | ",TRUE,IF($T45&gt;0,"Demanda: aumento",IF($T45&lt;0,"Demanda: redução","")),IF($U45&gt;0,"Concorrência: aumento",IF($U45&lt;0,"Concorrência: redução","")),IF($V45&gt;0,"Estoque: aumento",IF($V45&lt;0,"Estoque: redução","")),IF(ABS($W45-$X45)&gt;0.0000001,"Limite da rodada aplicado",""),IF($AB45="Piso","Piso vigente aplicado",IF($AB45="Teto","Teto aplicado","")),IF(AND($T45=0,$U45=0,$V45=0),"Sem gatilho de reajuste",""))))</f>
        <v/>
      </c>
      <c r="AD45" s="21">
        <f>IF(OR($A45="",$AG45&lt;&gt;"Pronta"),"",_xlfn.TEXTJOIN(" | ",TRUE,IF($E45&lt;$Q45,"Preço atual abaixo do piso",""),IF($E45&gt;$R45,"Preço atual acima do teto",""),IF(AND($N45&gt;0,$E45&gt;0,1-$N45/$E45&lt;$O45),"Margem estimada do preço atual abaixo do mínimo",""),IF($G45="","Preço concorrente não informado",""),IF($AB45="Piso","Recomendação travada no piso",""),IF($AB45="Teto","Recomendação travada no teto","")))</f>
        <v/>
      </c>
      <c r="AE45" s="19">
        <f>IF($AG45&lt;&gt;"Pronta","",IF($I45="Aprovar recomendação",$Z45,IF($I45="Manter preço atual",$E45,IF($I45="Definir manualmente",$J45,""))))</f>
        <v/>
      </c>
      <c r="AF45" s="21">
        <f>IF($A45="","",IF($AG45&lt;&gt;"Pronta","Aguardando correção",IF(OR($I45="",$I45="Pendente"),"Decisão pendente",IF(AND($I45="Definir manualmente",OR($J45="",$J45&lt;=0)),"Informe o preço manual",IF(OR($AE45&lt;$Q45,$AE45&gt;$R45),"Preço final fora do piso/teto","OK")))))</f>
        <v/>
      </c>
      <c r="AG45" s="26">
        <f>IF(COUNTA($A45:$K45)=0,"",IF(OR($A45="",$B45="",$C45="",$D45="",$E45="",$F45="",$H45=""),"Incompleta",IF(OR(COUNTIF($A$5:$A$204,$A45)&gt;1,NOT(ISNUMBER($B45)),COUNTIF(Produtos!$A$4:$A$103,$C45)&lt;&gt;1,IFERROR(INDEX(Produtos!$K$4:$K$103,MATCH($C45,Produtos!$A$4:$A$103,0))&lt;&gt;"Ativo",TRUE),IFERROR(INDEX(Produtos!$L$4:$L$103,MATCH($C45,Produtos!$A$4:$A$103,0))&lt;&gt;"OK",TRUE),COUNTIF(Regras!$A$4:$A$103,$D45)&lt;&gt;1,IFERROR(INDEX(Regras!$O$4:$O$103,MATCH($D45,Regras!$A$4:$A$103,0))&lt;&gt;"Sim",TRUE),IFERROR(INDEX(Regras!$P$4:$P$103,MATCH($D45,Regras!$A$4:$A$103,0))&lt;&gt;"OK",TRUE),NOT(ISNUMBER($E45)),$E45&lt;=0,NOT(ISNUMBER($F45)),$F45&lt;0,$F45&gt;5,NOT(ISNUMBER($H45)),$H45&lt;0,$H45&lt;&gt;INT($H45),AND($G45&lt;&gt;"",OR(NOT(ISNUMBER($G45)),$G45&lt;=0))),"Revisar","Pronta")))</f>
        <v/>
      </c>
    </row>
    <row r="46">
      <c r="A46" s="16" t="n"/>
      <c r="B46" s="24" t="n"/>
      <c r="C46" s="16" t="n"/>
      <c r="D46" s="16" t="n"/>
      <c r="E46" s="17" t="n"/>
      <c r="F46" s="18" t="n"/>
      <c r="G46" s="17" t="n"/>
      <c r="H46" s="20" t="n"/>
      <c r="I46" s="16" t="n"/>
      <c r="J46" s="17" t="n"/>
      <c r="K46" s="25" t="n"/>
      <c r="L46" s="26">
        <f>IF($C46="","",IFERROR(INDEX(Produtos!$B$4:$B$103,MATCH($C46,Produtos!$A$4:$A$103,0)),""))</f>
        <v/>
      </c>
      <c r="M46" s="26">
        <f>IF($C46="","",IFERROR(INDEX(Produtos!$C$4:$C$103,MATCH($C46,Produtos!$A$4:$A$103,0)),""))</f>
        <v/>
      </c>
      <c r="N46" s="19">
        <f>IF($C46="","",IFERROR(INDEX(Produtos!$D$4:$D$103,MATCH($C46,Produtos!$A$4:$A$103,0)),""))</f>
        <v/>
      </c>
      <c r="O46" s="27">
        <f>IF($C46="","",IFERROR(INDEX(Produtos!$E$4:$E$103,MATCH($C46,Produtos!$A$4:$A$103,0)),""))</f>
        <v/>
      </c>
      <c r="P46" s="19">
        <f>IF($C46="","",IFERROR(INDEX(Produtos!$G$4:$G$103,MATCH($C46,Produtos!$A$4:$A$103,0)),""))</f>
        <v/>
      </c>
      <c r="Q46" s="19">
        <f>IF($C46="","",IFERROR(INDEX(Produtos!$H$4:$H$103,MATCH($C46,Produtos!$A$4:$A$103,0)),""))</f>
        <v/>
      </c>
      <c r="R46" s="19">
        <f>IF($C46="","",IFERROR(INDEX(Produtos!$I$4:$I$103,MATCH($C46,Produtos!$A$4:$A$103,0)),""))</f>
        <v/>
      </c>
      <c r="S46" s="28">
        <f>IF($C46="","",IFERROR(INDEX(Produtos!$J$4:$J$103,MATCH($C46,Produtos!$A$4:$A$103,0)),""))</f>
        <v/>
      </c>
      <c r="T46" s="27">
        <f>IF($AG46&lt;&gt;"Pronta","",IFERROR(IF($F46&lt;=INDEX(Regras!$C$4:$C$103,MATCH($D46,Regras!$A$4:$A$103,0)),INDEX(Regras!$E$4:$E$103,MATCH($D46,Regras!$A$4:$A$103,0)),IF($F46&gt;=INDEX(Regras!$D$4:$D$103,MATCH($D46,Regras!$A$4:$A$103,0)),INDEX(Regras!$F$4:$F$103,MATCH($D46,Regras!$A$4:$A$103,0)),0)),""))</f>
        <v/>
      </c>
      <c r="U46" s="27">
        <f>IF($AG46&lt;&gt;"Pronta","",IFERROR(IF($G46="",0,IF($G46&lt;=$E46*(1-INDEX(Regras!$G$4:$G$103,MATCH($D46,Regras!$A$4:$A$103,0))),INDEX(Regras!$H$4:$H$103,MATCH($D46,Regras!$A$4:$A$103,0)),IF($G46&gt;=$E46*(1+INDEX(Regras!$G$4:$G$103,MATCH($D46,Regras!$A$4:$A$103,0))),INDEX(Regras!$I$4:$I$103,MATCH($D46,Regras!$A$4:$A$103,0)),0))),""))</f>
        <v/>
      </c>
      <c r="V46" s="27">
        <f>IF($AG46&lt;&gt;"Pronta","",IFERROR(IF($H46/$S46&lt;=INDEX(Regras!$J$4:$J$103,MATCH($D46,Regras!$A$4:$A$103,0)),INDEX(Regras!$L$4:$L$103,MATCH($D46,Regras!$A$4:$A$103,0)),IF($H46/$S46&gt;=INDEX(Regras!$K$4:$K$103,MATCH($D46,Regras!$A$4:$A$103,0)),INDEX(Regras!$M$4:$M$103,MATCH($D46,Regras!$A$4:$A$103,0)),0)),""))</f>
        <v/>
      </c>
      <c r="W46" s="27">
        <f>IF($AG46&lt;&gt;"Pronta","",SUM($T46:$V46))</f>
        <v/>
      </c>
      <c r="X46" s="27">
        <f>IF($AG46&lt;&gt;"Pronta","",IFERROR(MAX(-INDEX(Regras!$N$4:$N$103,MATCH($D46,Regras!$A$4:$A$103,0)),MIN(INDEX(Regras!$N$4:$N$103,MATCH($D46,Regras!$A$4:$A$103,0)),$W46)),""))</f>
        <v/>
      </c>
      <c r="Y46" s="19">
        <f>IF($AG46&lt;&gt;"Pronta","",IFERROR(ROUND($E46*(1+$X46),2),""))</f>
        <v/>
      </c>
      <c r="Z46" s="29">
        <f>IF(OR($AG46&lt;&gt;"Pronta",$Q46="",$R46=""),"",IFERROR(ROUND(MIN($R46,MAX($Q46,$Y46)),2),""))</f>
        <v/>
      </c>
      <c r="AA46" s="27">
        <f>IF(OR($E46="",$Z46=""),"",IFERROR($Z46/$E46-1,""))</f>
        <v/>
      </c>
      <c r="AB46" s="26">
        <f>IF($Z46="","",IF($Y46&lt;$Q46,"Piso",IF($Y46&gt;$R46,"Teto","Nenhuma")))</f>
        <v/>
      </c>
      <c r="AC46" s="21">
        <f>IF($A46="","",IF($AG46&lt;&gt;"Pronta","Aguardando dados válidos",_xlfn.TEXTJOIN(" | ",TRUE,IF($T46&gt;0,"Demanda: aumento",IF($T46&lt;0,"Demanda: redução","")),IF($U46&gt;0,"Concorrência: aumento",IF($U46&lt;0,"Concorrência: redução","")),IF($V46&gt;0,"Estoque: aumento",IF($V46&lt;0,"Estoque: redução","")),IF(ABS($W46-$X46)&gt;0.0000001,"Limite da rodada aplicado",""),IF($AB46="Piso","Piso vigente aplicado",IF($AB46="Teto","Teto aplicado","")),IF(AND($T46=0,$U46=0,$V46=0),"Sem gatilho de reajuste",""))))</f>
        <v/>
      </c>
      <c r="AD46" s="21">
        <f>IF(OR($A46="",$AG46&lt;&gt;"Pronta"),"",_xlfn.TEXTJOIN(" | ",TRUE,IF($E46&lt;$Q46,"Preço atual abaixo do piso",""),IF($E46&gt;$R46,"Preço atual acima do teto",""),IF(AND($N46&gt;0,$E46&gt;0,1-$N46/$E46&lt;$O46),"Margem estimada do preço atual abaixo do mínimo",""),IF($G46="","Preço concorrente não informado",""),IF($AB46="Piso","Recomendação travada no piso",""),IF($AB46="Teto","Recomendação travada no teto","")))</f>
        <v/>
      </c>
      <c r="AE46" s="19">
        <f>IF($AG46&lt;&gt;"Pronta","",IF($I46="Aprovar recomendação",$Z46,IF($I46="Manter preço atual",$E46,IF($I46="Definir manualmente",$J46,""))))</f>
        <v/>
      </c>
      <c r="AF46" s="21">
        <f>IF($A46="","",IF($AG46&lt;&gt;"Pronta","Aguardando correção",IF(OR($I46="",$I46="Pendente"),"Decisão pendente",IF(AND($I46="Definir manualmente",OR($J46="",$J46&lt;=0)),"Informe o preço manual",IF(OR($AE46&lt;$Q46,$AE46&gt;$R46),"Preço final fora do piso/teto","OK")))))</f>
        <v/>
      </c>
      <c r="AG46" s="26">
        <f>IF(COUNTA($A46:$K46)=0,"",IF(OR($A46="",$B46="",$C46="",$D46="",$E46="",$F46="",$H46=""),"Incompleta",IF(OR(COUNTIF($A$5:$A$204,$A46)&gt;1,NOT(ISNUMBER($B46)),COUNTIF(Produtos!$A$4:$A$103,$C46)&lt;&gt;1,IFERROR(INDEX(Produtos!$K$4:$K$103,MATCH($C46,Produtos!$A$4:$A$103,0))&lt;&gt;"Ativo",TRUE),IFERROR(INDEX(Produtos!$L$4:$L$103,MATCH($C46,Produtos!$A$4:$A$103,0))&lt;&gt;"OK",TRUE),COUNTIF(Regras!$A$4:$A$103,$D46)&lt;&gt;1,IFERROR(INDEX(Regras!$O$4:$O$103,MATCH($D46,Regras!$A$4:$A$103,0))&lt;&gt;"Sim",TRUE),IFERROR(INDEX(Regras!$P$4:$P$103,MATCH($D46,Regras!$A$4:$A$103,0))&lt;&gt;"OK",TRUE),NOT(ISNUMBER($E46)),$E46&lt;=0,NOT(ISNUMBER($F46)),$F46&lt;0,$F46&gt;5,NOT(ISNUMBER($H46)),$H46&lt;0,$H46&lt;&gt;INT($H46),AND($G46&lt;&gt;"",OR(NOT(ISNUMBER($G46)),$G46&lt;=0))),"Revisar","Pronta")))</f>
        <v/>
      </c>
    </row>
    <row r="47">
      <c r="A47" s="16" t="n"/>
      <c r="B47" s="24" t="n"/>
      <c r="C47" s="16" t="n"/>
      <c r="D47" s="16" t="n"/>
      <c r="E47" s="17" t="n"/>
      <c r="F47" s="18" t="n"/>
      <c r="G47" s="17" t="n"/>
      <c r="H47" s="20" t="n"/>
      <c r="I47" s="16" t="n"/>
      <c r="J47" s="17" t="n"/>
      <c r="K47" s="25" t="n"/>
      <c r="L47" s="26">
        <f>IF($C47="","",IFERROR(INDEX(Produtos!$B$4:$B$103,MATCH($C47,Produtos!$A$4:$A$103,0)),""))</f>
        <v/>
      </c>
      <c r="M47" s="26">
        <f>IF($C47="","",IFERROR(INDEX(Produtos!$C$4:$C$103,MATCH($C47,Produtos!$A$4:$A$103,0)),""))</f>
        <v/>
      </c>
      <c r="N47" s="19">
        <f>IF($C47="","",IFERROR(INDEX(Produtos!$D$4:$D$103,MATCH($C47,Produtos!$A$4:$A$103,0)),""))</f>
        <v/>
      </c>
      <c r="O47" s="27">
        <f>IF($C47="","",IFERROR(INDEX(Produtos!$E$4:$E$103,MATCH($C47,Produtos!$A$4:$A$103,0)),""))</f>
        <v/>
      </c>
      <c r="P47" s="19">
        <f>IF($C47="","",IFERROR(INDEX(Produtos!$G$4:$G$103,MATCH($C47,Produtos!$A$4:$A$103,0)),""))</f>
        <v/>
      </c>
      <c r="Q47" s="19">
        <f>IF($C47="","",IFERROR(INDEX(Produtos!$H$4:$H$103,MATCH($C47,Produtos!$A$4:$A$103,0)),""))</f>
        <v/>
      </c>
      <c r="R47" s="19">
        <f>IF($C47="","",IFERROR(INDEX(Produtos!$I$4:$I$103,MATCH($C47,Produtos!$A$4:$A$103,0)),""))</f>
        <v/>
      </c>
      <c r="S47" s="28">
        <f>IF($C47="","",IFERROR(INDEX(Produtos!$J$4:$J$103,MATCH($C47,Produtos!$A$4:$A$103,0)),""))</f>
        <v/>
      </c>
      <c r="T47" s="27">
        <f>IF($AG47&lt;&gt;"Pronta","",IFERROR(IF($F47&lt;=INDEX(Regras!$C$4:$C$103,MATCH($D47,Regras!$A$4:$A$103,0)),INDEX(Regras!$E$4:$E$103,MATCH($D47,Regras!$A$4:$A$103,0)),IF($F47&gt;=INDEX(Regras!$D$4:$D$103,MATCH($D47,Regras!$A$4:$A$103,0)),INDEX(Regras!$F$4:$F$103,MATCH($D47,Regras!$A$4:$A$103,0)),0)),""))</f>
        <v/>
      </c>
      <c r="U47" s="27">
        <f>IF($AG47&lt;&gt;"Pronta","",IFERROR(IF($G47="",0,IF($G47&lt;=$E47*(1-INDEX(Regras!$G$4:$G$103,MATCH($D47,Regras!$A$4:$A$103,0))),INDEX(Regras!$H$4:$H$103,MATCH($D47,Regras!$A$4:$A$103,0)),IF($G47&gt;=$E47*(1+INDEX(Regras!$G$4:$G$103,MATCH($D47,Regras!$A$4:$A$103,0))),INDEX(Regras!$I$4:$I$103,MATCH($D47,Regras!$A$4:$A$103,0)),0))),""))</f>
        <v/>
      </c>
      <c r="V47" s="27">
        <f>IF($AG47&lt;&gt;"Pronta","",IFERROR(IF($H47/$S47&lt;=INDEX(Regras!$J$4:$J$103,MATCH($D47,Regras!$A$4:$A$103,0)),INDEX(Regras!$L$4:$L$103,MATCH($D47,Regras!$A$4:$A$103,0)),IF($H47/$S47&gt;=INDEX(Regras!$K$4:$K$103,MATCH($D47,Regras!$A$4:$A$103,0)),INDEX(Regras!$M$4:$M$103,MATCH($D47,Regras!$A$4:$A$103,0)),0)),""))</f>
        <v/>
      </c>
      <c r="W47" s="27">
        <f>IF($AG47&lt;&gt;"Pronta","",SUM($T47:$V47))</f>
        <v/>
      </c>
      <c r="X47" s="27">
        <f>IF($AG47&lt;&gt;"Pronta","",IFERROR(MAX(-INDEX(Regras!$N$4:$N$103,MATCH($D47,Regras!$A$4:$A$103,0)),MIN(INDEX(Regras!$N$4:$N$103,MATCH($D47,Regras!$A$4:$A$103,0)),$W47)),""))</f>
        <v/>
      </c>
      <c r="Y47" s="19">
        <f>IF($AG47&lt;&gt;"Pronta","",IFERROR(ROUND($E47*(1+$X47),2),""))</f>
        <v/>
      </c>
      <c r="Z47" s="29">
        <f>IF(OR($AG47&lt;&gt;"Pronta",$Q47="",$R47=""),"",IFERROR(ROUND(MIN($R47,MAX($Q47,$Y47)),2),""))</f>
        <v/>
      </c>
      <c r="AA47" s="27">
        <f>IF(OR($E47="",$Z47=""),"",IFERROR($Z47/$E47-1,""))</f>
        <v/>
      </c>
      <c r="AB47" s="26">
        <f>IF($Z47="","",IF($Y47&lt;$Q47,"Piso",IF($Y47&gt;$R47,"Teto","Nenhuma")))</f>
        <v/>
      </c>
      <c r="AC47" s="21">
        <f>IF($A47="","",IF($AG47&lt;&gt;"Pronta","Aguardando dados válidos",_xlfn.TEXTJOIN(" | ",TRUE,IF($T47&gt;0,"Demanda: aumento",IF($T47&lt;0,"Demanda: redução","")),IF($U47&gt;0,"Concorrência: aumento",IF($U47&lt;0,"Concorrência: redução","")),IF($V47&gt;0,"Estoque: aumento",IF($V47&lt;0,"Estoque: redução","")),IF(ABS($W47-$X47)&gt;0.0000001,"Limite da rodada aplicado",""),IF($AB47="Piso","Piso vigente aplicado",IF($AB47="Teto","Teto aplicado","")),IF(AND($T47=0,$U47=0,$V47=0),"Sem gatilho de reajuste",""))))</f>
        <v/>
      </c>
      <c r="AD47" s="21">
        <f>IF(OR($A47="",$AG47&lt;&gt;"Pronta"),"",_xlfn.TEXTJOIN(" | ",TRUE,IF($E47&lt;$Q47,"Preço atual abaixo do piso",""),IF($E47&gt;$R47,"Preço atual acima do teto",""),IF(AND($N47&gt;0,$E47&gt;0,1-$N47/$E47&lt;$O47),"Margem estimada do preço atual abaixo do mínimo",""),IF($G47="","Preço concorrente não informado",""),IF($AB47="Piso","Recomendação travada no piso",""),IF($AB47="Teto","Recomendação travada no teto","")))</f>
        <v/>
      </c>
      <c r="AE47" s="19">
        <f>IF($AG47&lt;&gt;"Pronta","",IF($I47="Aprovar recomendação",$Z47,IF($I47="Manter preço atual",$E47,IF($I47="Definir manualmente",$J47,""))))</f>
        <v/>
      </c>
      <c r="AF47" s="21">
        <f>IF($A47="","",IF($AG47&lt;&gt;"Pronta","Aguardando correção",IF(OR($I47="",$I47="Pendente"),"Decisão pendente",IF(AND($I47="Definir manualmente",OR($J47="",$J47&lt;=0)),"Informe o preço manual",IF(OR($AE47&lt;$Q47,$AE47&gt;$R47),"Preço final fora do piso/teto","OK")))))</f>
        <v/>
      </c>
      <c r="AG47" s="26">
        <f>IF(COUNTA($A47:$K47)=0,"",IF(OR($A47="",$B47="",$C47="",$D47="",$E47="",$F47="",$H47=""),"Incompleta",IF(OR(COUNTIF($A$5:$A$204,$A47)&gt;1,NOT(ISNUMBER($B47)),COUNTIF(Produtos!$A$4:$A$103,$C47)&lt;&gt;1,IFERROR(INDEX(Produtos!$K$4:$K$103,MATCH($C47,Produtos!$A$4:$A$103,0))&lt;&gt;"Ativo",TRUE),IFERROR(INDEX(Produtos!$L$4:$L$103,MATCH($C47,Produtos!$A$4:$A$103,0))&lt;&gt;"OK",TRUE),COUNTIF(Regras!$A$4:$A$103,$D47)&lt;&gt;1,IFERROR(INDEX(Regras!$O$4:$O$103,MATCH($D47,Regras!$A$4:$A$103,0))&lt;&gt;"Sim",TRUE),IFERROR(INDEX(Regras!$P$4:$P$103,MATCH($D47,Regras!$A$4:$A$103,0))&lt;&gt;"OK",TRUE),NOT(ISNUMBER($E47)),$E47&lt;=0,NOT(ISNUMBER($F47)),$F47&lt;0,$F47&gt;5,NOT(ISNUMBER($H47)),$H47&lt;0,$H47&lt;&gt;INT($H47),AND($G47&lt;&gt;"",OR(NOT(ISNUMBER($G47)),$G47&lt;=0))),"Revisar","Pronta")))</f>
        <v/>
      </c>
    </row>
    <row r="48">
      <c r="A48" s="16" t="n"/>
      <c r="B48" s="24" t="n"/>
      <c r="C48" s="16" t="n"/>
      <c r="D48" s="16" t="n"/>
      <c r="E48" s="17" t="n"/>
      <c r="F48" s="18" t="n"/>
      <c r="G48" s="17" t="n"/>
      <c r="H48" s="20" t="n"/>
      <c r="I48" s="16" t="n"/>
      <c r="J48" s="17" t="n"/>
      <c r="K48" s="25" t="n"/>
      <c r="L48" s="26">
        <f>IF($C48="","",IFERROR(INDEX(Produtos!$B$4:$B$103,MATCH($C48,Produtos!$A$4:$A$103,0)),""))</f>
        <v/>
      </c>
      <c r="M48" s="26">
        <f>IF($C48="","",IFERROR(INDEX(Produtos!$C$4:$C$103,MATCH($C48,Produtos!$A$4:$A$103,0)),""))</f>
        <v/>
      </c>
      <c r="N48" s="19">
        <f>IF($C48="","",IFERROR(INDEX(Produtos!$D$4:$D$103,MATCH($C48,Produtos!$A$4:$A$103,0)),""))</f>
        <v/>
      </c>
      <c r="O48" s="27">
        <f>IF($C48="","",IFERROR(INDEX(Produtos!$E$4:$E$103,MATCH($C48,Produtos!$A$4:$A$103,0)),""))</f>
        <v/>
      </c>
      <c r="P48" s="19">
        <f>IF($C48="","",IFERROR(INDEX(Produtos!$G$4:$G$103,MATCH($C48,Produtos!$A$4:$A$103,0)),""))</f>
        <v/>
      </c>
      <c r="Q48" s="19">
        <f>IF($C48="","",IFERROR(INDEX(Produtos!$H$4:$H$103,MATCH($C48,Produtos!$A$4:$A$103,0)),""))</f>
        <v/>
      </c>
      <c r="R48" s="19">
        <f>IF($C48="","",IFERROR(INDEX(Produtos!$I$4:$I$103,MATCH($C48,Produtos!$A$4:$A$103,0)),""))</f>
        <v/>
      </c>
      <c r="S48" s="28">
        <f>IF($C48="","",IFERROR(INDEX(Produtos!$J$4:$J$103,MATCH($C48,Produtos!$A$4:$A$103,0)),""))</f>
        <v/>
      </c>
      <c r="T48" s="27">
        <f>IF($AG48&lt;&gt;"Pronta","",IFERROR(IF($F48&lt;=INDEX(Regras!$C$4:$C$103,MATCH($D48,Regras!$A$4:$A$103,0)),INDEX(Regras!$E$4:$E$103,MATCH($D48,Regras!$A$4:$A$103,0)),IF($F48&gt;=INDEX(Regras!$D$4:$D$103,MATCH($D48,Regras!$A$4:$A$103,0)),INDEX(Regras!$F$4:$F$103,MATCH($D48,Regras!$A$4:$A$103,0)),0)),""))</f>
        <v/>
      </c>
      <c r="U48" s="27">
        <f>IF($AG48&lt;&gt;"Pronta","",IFERROR(IF($G48="",0,IF($G48&lt;=$E48*(1-INDEX(Regras!$G$4:$G$103,MATCH($D48,Regras!$A$4:$A$103,0))),INDEX(Regras!$H$4:$H$103,MATCH($D48,Regras!$A$4:$A$103,0)),IF($G48&gt;=$E48*(1+INDEX(Regras!$G$4:$G$103,MATCH($D48,Regras!$A$4:$A$103,0))),INDEX(Regras!$I$4:$I$103,MATCH($D48,Regras!$A$4:$A$103,0)),0))),""))</f>
        <v/>
      </c>
      <c r="V48" s="27">
        <f>IF($AG48&lt;&gt;"Pronta","",IFERROR(IF($H48/$S48&lt;=INDEX(Regras!$J$4:$J$103,MATCH($D48,Regras!$A$4:$A$103,0)),INDEX(Regras!$L$4:$L$103,MATCH($D48,Regras!$A$4:$A$103,0)),IF($H48/$S48&gt;=INDEX(Regras!$K$4:$K$103,MATCH($D48,Regras!$A$4:$A$103,0)),INDEX(Regras!$M$4:$M$103,MATCH($D48,Regras!$A$4:$A$103,0)),0)),""))</f>
        <v/>
      </c>
      <c r="W48" s="27">
        <f>IF($AG48&lt;&gt;"Pronta","",SUM($T48:$V48))</f>
        <v/>
      </c>
      <c r="X48" s="27">
        <f>IF($AG48&lt;&gt;"Pronta","",IFERROR(MAX(-INDEX(Regras!$N$4:$N$103,MATCH($D48,Regras!$A$4:$A$103,0)),MIN(INDEX(Regras!$N$4:$N$103,MATCH($D48,Regras!$A$4:$A$103,0)),$W48)),""))</f>
        <v/>
      </c>
      <c r="Y48" s="19">
        <f>IF($AG48&lt;&gt;"Pronta","",IFERROR(ROUND($E48*(1+$X48),2),""))</f>
        <v/>
      </c>
      <c r="Z48" s="29">
        <f>IF(OR($AG48&lt;&gt;"Pronta",$Q48="",$R48=""),"",IFERROR(ROUND(MIN($R48,MAX($Q48,$Y48)),2),""))</f>
        <v/>
      </c>
      <c r="AA48" s="27">
        <f>IF(OR($E48="",$Z48=""),"",IFERROR($Z48/$E48-1,""))</f>
        <v/>
      </c>
      <c r="AB48" s="26">
        <f>IF($Z48="","",IF($Y48&lt;$Q48,"Piso",IF($Y48&gt;$R48,"Teto","Nenhuma")))</f>
        <v/>
      </c>
      <c r="AC48" s="21">
        <f>IF($A48="","",IF($AG48&lt;&gt;"Pronta","Aguardando dados válidos",_xlfn.TEXTJOIN(" | ",TRUE,IF($T48&gt;0,"Demanda: aumento",IF($T48&lt;0,"Demanda: redução","")),IF($U48&gt;0,"Concorrência: aumento",IF($U48&lt;0,"Concorrência: redução","")),IF($V48&gt;0,"Estoque: aumento",IF($V48&lt;0,"Estoque: redução","")),IF(ABS($W48-$X48)&gt;0.0000001,"Limite da rodada aplicado",""),IF($AB48="Piso","Piso vigente aplicado",IF($AB48="Teto","Teto aplicado","")),IF(AND($T48=0,$U48=0,$V48=0),"Sem gatilho de reajuste",""))))</f>
        <v/>
      </c>
      <c r="AD48" s="21">
        <f>IF(OR($A48="",$AG48&lt;&gt;"Pronta"),"",_xlfn.TEXTJOIN(" | ",TRUE,IF($E48&lt;$Q48,"Preço atual abaixo do piso",""),IF($E48&gt;$R48,"Preço atual acima do teto",""),IF(AND($N48&gt;0,$E48&gt;0,1-$N48/$E48&lt;$O48),"Margem estimada do preço atual abaixo do mínimo",""),IF($G48="","Preço concorrente não informado",""),IF($AB48="Piso","Recomendação travada no piso",""),IF($AB48="Teto","Recomendação travada no teto","")))</f>
        <v/>
      </c>
      <c r="AE48" s="19">
        <f>IF($AG48&lt;&gt;"Pronta","",IF($I48="Aprovar recomendação",$Z48,IF($I48="Manter preço atual",$E48,IF($I48="Definir manualmente",$J48,""))))</f>
        <v/>
      </c>
      <c r="AF48" s="21">
        <f>IF($A48="","",IF($AG48&lt;&gt;"Pronta","Aguardando correção",IF(OR($I48="",$I48="Pendente"),"Decisão pendente",IF(AND($I48="Definir manualmente",OR($J48="",$J48&lt;=0)),"Informe o preço manual",IF(OR($AE48&lt;$Q48,$AE48&gt;$R48),"Preço final fora do piso/teto","OK")))))</f>
        <v/>
      </c>
      <c r="AG48" s="26">
        <f>IF(COUNTA($A48:$K48)=0,"",IF(OR($A48="",$B48="",$C48="",$D48="",$E48="",$F48="",$H48=""),"Incompleta",IF(OR(COUNTIF($A$5:$A$204,$A48)&gt;1,NOT(ISNUMBER($B48)),COUNTIF(Produtos!$A$4:$A$103,$C48)&lt;&gt;1,IFERROR(INDEX(Produtos!$K$4:$K$103,MATCH($C48,Produtos!$A$4:$A$103,0))&lt;&gt;"Ativo",TRUE),IFERROR(INDEX(Produtos!$L$4:$L$103,MATCH($C48,Produtos!$A$4:$A$103,0))&lt;&gt;"OK",TRUE),COUNTIF(Regras!$A$4:$A$103,$D48)&lt;&gt;1,IFERROR(INDEX(Regras!$O$4:$O$103,MATCH($D48,Regras!$A$4:$A$103,0))&lt;&gt;"Sim",TRUE),IFERROR(INDEX(Regras!$P$4:$P$103,MATCH($D48,Regras!$A$4:$A$103,0))&lt;&gt;"OK",TRUE),NOT(ISNUMBER($E48)),$E48&lt;=0,NOT(ISNUMBER($F48)),$F48&lt;0,$F48&gt;5,NOT(ISNUMBER($H48)),$H48&lt;0,$H48&lt;&gt;INT($H48),AND($G48&lt;&gt;"",OR(NOT(ISNUMBER($G48)),$G48&lt;=0))),"Revisar","Pronta")))</f>
        <v/>
      </c>
    </row>
    <row r="49">
      <c r="A49" s="16" t="n"/>
      <c r="B49" s="24" t="n"/>
      <c r="C49" s="16" t="n"/>
      <c r="D49" s="16" t="n"/>
      <c r="E49" s="17" t="n"/>
      <c r="F49" s="18" t="n"/>
      <c r="G49" s="17" t="n"/>
      <c r="H49" s="20" t="n"/>
      <c r="I49" s="16" t="n"/>
      <c r="J49" s="17" t="n"/>
      <c r="K49" s="25" t="n"/>
      <c r="L49" s="26">
        <f>IF($C49="","",IFERROR(INDEX(Produtos!$B$4:$B$103,MATCH($C49,Produtos!$A$4:$A$103,0)),""))</f>
        <v/>
      </c>
      <c r="M49" s="26">
        <f>IF($C49="","",IFERROR(INDEX(Produtos!$C$4:$C$103,MATCH($C49,Produtos!$A$4:$A$103,0)),""))</f>
        <v/>
      </c>
      <c r="N49" s="19">
        <f>IF($C49="","",IFERROR(INDEX(Produtos!$D$4:$D$103,MATCH($C49,Produtos!$A$4:$A$103,0)),""))</f>
        <v/>
      </c>
      <c r="O49" s="27">
        <f>IF($C49="","",IFERROR(INDEX(Produtos!$E$4:$E$103,MATCH($C49,Produtos!$A$4:$A$103,0)),""))</f>
        <v/>
      </c>
      <c r="P49" s="19">
        <f>IF($C49="","",IFERROR(INDEX(Produtos!$G$4:$G$103,MATCH($C49,Produtos!$A$4:$A$103,0)),""))</f>
        <v/>
      </c>
      <c r="Q49" s="19">
        <f>IF($C49="","",IFERROR(INDEX(Produtos!$H$4:$H$103,MATCH($C49,Produtos!$A$4:$A$103,0)),""))</f>
        <v/>
      </c>
      <c r="R49" s="19">
        <f>IF($C49="","",IFERROR(INDEX(Produtos!$I$4:$I$103,MATCH($C49,Produtos!$A$4:$A$103,0)),""))</f>
        <v/>
      </c>
      <c r="S49" s="28">
        <f>IF($C49="","",IFERROR(INDEX(Produtos!$J$4:$J$103,MATCH($C49,Produtos!$A$4:$A$103,0)),""))</f>
        <v/>
      </c>
      <c r="T49" s="27">
        <f>IF($AG49&lt;&gt;"Pronta","",IFERROR(IF($F49&lt;=INDEX(Regras!$C$4:$C$103,MATCH($D49,Regras!$A$4:$A$103,0)),INDEX(Regras!$E$4:$E$103,MATCH($D49,Regras!$A$4:$A$103,0)),IF($F49&gt;=INDEX(Regras!$D$4:$D$103,MATCH($D49,Regras!$A$4:$A$103,0)),INDEX(Regras!$F$4:$F$103,MATCH($D49,Regras!$A$4:$A$103,0)),0)),""))</f>
        <v/>
      </c>
      <c r="U49" s="27">
        <f>IF($AG49&lt;&gt;"Pronta","",IFERROR(IF($G49="",0,IF($G49&lt;=$E49*(1-INDEX(Regras!$G$4:$G$103,MATCH($D49,Regras!$A$4:$A$103,0))),INDEX(Regras!$H$4:$H$103,MATCH($D49,Regras!$A$4:$A$103,0)),IF($G49&gt;=$E49*(1+INDEX(Regras!$G$4:$G$103,MATCH($D49,Regras!$A$4:$A$103,0))),INDEX(Regras!$I$4:$I$103,MATCH($D49,Regras!$A$4:$A$103,0)),0))),""))</f>
        <v/>
      </c>
      <c r="V49" s="27">
        <f>IF($AG49&lt;&gt;"Pronta","",IFERROR(IF($H49/$S49&lt;=INDEX(Regras!$J$4:$J$103,MATCH($D49,Regras!$A$4:$A$103,0)),INDEX(Regras!$L$4:$L$103,MATCH($D49,Regras!$A$4:$A$103,0)),IF($H49/$S49&gt;=INDEX(Regras!$K$4:$K$103,MATCH($D49,Regras!$A$4:$A$103,0)),INDEX(Regras!$M$4:$M$103,MATCH($D49,Regras!$A$4:$A$103,0)),0)),""))</f>
        <v/>
      </c>
      <c r="W49" s="27">
        <f>IF($AG49&lt;&gt;"Pronta","",SUM($T49:$V49))</f>
        <v/>
      </c>
      <c r="X49" s="27">
        <f>IF($AG49&lt;&gt;"Pronta","",IFERROR(MAX(-INDEX(Regras!$N$4:$N$103,MATCH($D49,Regras!$A$4:$A$103,0)),MIN(INDEX(Regras!$N$4:$N$103,MATCH($D49,Regras!$A$4:$A$103,0)),$W49)),""))</f>
        <v/>
      </c>
      <c r="Y49" s="19">
        <f>IF($AG49&lt;&gt;"Pronta","",IFERROR(ROUND($E49*(1+$X49),2),""))</f>
        <v/>
      </c>
      <c r="Z49" s="29">
        <f>IF(OR($AG49&lt;&gt;"Pronta",$Q49="",$R49=""),"",IFERROR(ROUND(MIN($R49,MAX($Q49,$Y49)),2),""))</f>
        <v/>
      </c>
      <c r="AA49" s="27">
        <f>IF(OR($E49="",$Z49=""),"",IFERROR($Z49/$E49-1,""))</f>
        <v/>
      </c>
      <c r="AB49" s="26">
        <f>IF($Z49="","",IF($Y49&lt;$Q49,"Piso",IF($Y49&gt;$R49,"Teto","Nenhuma")))</f>
        <v/>
      </c>
      <c r="AC49" s="21">
        <f>IF($A49="","",IF($AG49&lt;&gt;"Pronta","Aguardando dados válidos",_xlfn.TEXTJOIN(" | ",TRUE,IF($T49&gt;0,"Demanda: aumento",IF($T49&lt;0,"Demanda: redução","")),IF($U49&gt;0,"Concorrência: aumento",IF($U49&lt;0,"Concorrência: redução","")),IF($V49&gt;0,"Estoque: aumento",IF($V49&lt;0,"Estoque: redução","")),IF(ABS($W49-$X49)&gt;0.0000001,"Limite da rodada aplicado",""),IF($AB49="Piso","Piso vigente aplicado",IF($AB49="Teto","Teto aplicado","")),IF(AND($T49=0,$U49=0,$V49=0),"Sem gatilho de reajuste",""))))</f>
        <v/>
      </c>
      <c r="AD49" s="21">
        <f>IF(OR($A49="",$AG49&lt;&gt;"Pronta"),"",_xlfn.TEXTJOIN(" | ",TRUE,IF($E49&lt;$Q49,"Preço atual abaixo do piso",""),IF($E49&gt;$R49,"Preço atual acima do teto",""),IF(AND($N49&gt;0,$E49&gt;0,1-$N49/$E49&lt;$O49),"Margem estimada do preço atual abaixo do mínimo",""),IF($G49="","Preço concorrente não informado",""),IF($AB49="Piso","Recomendação travada no piso",""),IF($AB49="Teto","Recomendação travada no teto","")))</f>
        <v/>
      </c>
      <c r="AE49" s="19">
        <f>IF($AG49&lt;&gt;"Pronta","",IF($I49="Aprovar recomendação",$Z49,IF($I49="Manter preço atual",$E49,IF($I49="Definir manualmente",$J49,""))))</f>
        <v/>
      </c>
      <c r="AF49" s="21">
        <f>IF($A49="","",IF($AG49&lt;&gt;"Pronta","Aguardando correção",IF(OR($I49="",$I49="Pendente"),"Decisão pendente",IF(AND($I49="Definir manualmente",OR($J49="",$J49&lt;=0)),"Informe o preço manual",IF(OR($AE49&lt;$Q49,$AE49&gt;$R49),"Preço final fora do piso/teto","OK")))))</f>
        <v/>
      </c>
      <c r="AG49" s="26">
        <f>IF(COUNTA($A49:$K49)=0,"",IF(OR($A49="",$B49="",$C49="",$D49="",$E49="",$F49="",$H49=""),"Incompleta",IF(OR(COUNTIF($A$5:$A$204,$A49)&gt;1,NOT(ISNUMBER($B49)),COUNTIF(Produtos!$A$4:$A$103,$C49)&lt;&gt;1,IFERROR(INDEX(Produtos!$K$4:$K$103,MATCH($C49,Produtos!$A$4:$A$103,0))&lt;&gt;"Ativo",TRUE),IFERROR(INDEX(Produtos!$L$4:$L$103,MATCH($C49,Produtos!$A$4:$A$103,0))&lt;&gt;"OK",TRUE),COUNTIF(Regras!$A$4:$A$103,$D49)&lt;&gt;1,IFERROR(INDEX(Regras!$O$4:$O$103,MATCH($D49,Regras!$A$4:$A$103,0))&lt;&gt;"Sim",TRUE),IFERROR(INDEX(Regras!$P$4:$P$103,MATCH($D49,Regras!$A$4:$A$103,0))&lt;&gt;"OK",TRUE),NOT(ISNUMBER($E49)),$E49&lt;=0,NOT(ISNUMBER($F49)),$F49&lt;0,$F49&gt;5,NOT(ISNUMBER($H49)),$H49&lt;0,$H49&lt;&gt;INT($H49),AND($G49&lt;&gt;"",OR(NOT(ISNUMBER($G49)),$G49&lt;=0))),"Revisar","Pronta")))</f>
        <v/>
      </c>
    </row>
    <row r="50">
      <c r="A50" s="16" t="n"/>
      <c r="B50" s="24" t="n"/>
      <c r="C50" s="16" t="n"/>
      <c r="D50" s="16" t="n"/>
      <c r="E50" s="17" t="n"/>
      <c r="F50" s="18" t="n"/>
      <c r="G50" s="17" t="n"/>
      <c r="H50" s="20" t="n"/>
      <c r="I50" s="16" t="n"/>
      <c r="J50" s="17" t="n"/>
      <c r="K50" s="25" t="n"/>
      <c r="L50" s="26">
        <f>IF($C50="","",IFERROR(INDEX(Produtos!$B$4:$B$103,MATCH($C50,Produtos!$A$4:$A$103,0)),""))</f>
        <v/>
      </c>
      <c r="M50" s="26">
        <f>IF($C50="","",IFERROR(INDEX(Produtos!$C$4:$C$103,MATCH($C50,Produtos!$A$4:$A$103,0)),""))</f>
        <v/>
      </c>
      <c r="N50" s="19">
        <f>IF($C50="","",IFERROR(INDEX(Produtos!$D$4:$D$103,MATCH($C50,Produtos!$A$4:$A$103,0)),""))</f>
        <v/>
      </c>
      <c r="O50" s="27">
        <f>IF($C50="","",IFERROR(INDEX(Produtos!$E$4:$E$103,MATCH($C50,Produtos!$A$4:$A$103,0)),""))</f>
        <v/>
      </c>
      <c r="P50" s="19">
        <f>IF($C50="","",IFERROR(INDEX(Produtos!$G$4:$G$103,MATCH($C50,Produtos!$A$4:$A$103,0)),""))</f>
        <v/>
      </c>
      <c r="Q50" s="19">
        <f>IF($C50="","",IFERROR(INDEX(Produtos!$H$4:$H$103,MATCH($C50,Produtos!$A$4:$A$103,0)),""))</f>
        <v/>
      </c>
      <c r="R50" s="19">
        <f>IF($C50="","",IFERROR(INDEX(Produtos!$I$4:$I$103,MATCH($C50,Produtos!$A$4:$A$103,0)),""))</f>
        <v/>
      </c>
      <c r="S50" s="28">
        <f>IF($C50="","",IFERROR(INDEX(Produtos!$J$4:$J$103,MATCH($C50,Produtos!$A$4:$A$103,0)),""))</f>
        <v/>
      </c>
      <c r="T50" s="27">
        <f>IF($AG50&lt;&gt;"Pronta","",IFERROR(IF($F50&lt;=INDEX(Regras!$C$4:$C$103,MATCH($D50,Regras!$A$4:$A$103,0)),INDEX(Regras!$E$4:$E$103,MATCH($D50,Regras!$A$4:$A$103,0)),IF($F50&gt;=INDEX(Regras!$D$4:$D$103,MATCH($D50,Regras!$A$4:$A$103,0)),INDEX(Regras!$F$4:$F$103,MATCH($D50,Regras!$A$4:$A$103,0)),0)),""))</f>
        <v/>
      </c>
      <c r="U50" s="27">
        <f>IF($AG50&lt;&gt;"Pronta","",IFERROR(IF($G50="",0,IF($G50&lt;=$E50*(1-INDEX(Regras!$G$4:$G$103,MATCH($D50,Regras!$A$4:$A$103,0))),INDEX(Regras!$H$4:$H$103,MATCH($D50,Regras!$A$4:$A$103,0)),IF($G50&gt;=$E50*(1+INDEX(Regras!$G$4:$G$103,MATCH($D50,Regras!$A$4:$A$103,0))),INDEX(Regras!$I$4:$I$103,MATCH($D50,Regras!$A$4:$A$103,0)),0))),""))</f>
        <v/>
      </c>
      <c r="V50" s="27">
        <f>IF($AG50&lt;&gt;"Pronta","",IFERROR(IF($H50/$S50&lt;=INDEX(Regras!$J$4:$J$103,MATCH($D50,Regras!$A$4:$A$103,0)),INDEX(Regras!$L$4:$L$103,MATCH($D50,Regras!$A$4:$A$103,0)),IF($H50/$S50&gt;=INDEX(Regras!$K$4:$K$103,MATCH($D50,Regras!$A$4:$A$103,0)),INDEX(Regras!$M$4:$M$103,MATCH($D50,Regras!$A$4:$A$103,0)),0)),""))</f>
        <v/>
      </c>
      <c r="W50" s="27">
        <f>IF($AG50&lt;&gt;"Pronta","",SUM($T50:$V50))</f>
        <v/>
      </c>
      <c r="X50" s="27">
        <f>IF($AG50&lt;&gt;"Pronta","",IFERROR(MAX(-INDEX(Regras!$N$4:$N$103,MATCH($D50,Regras!$A$4:$A$103,0)),MIN(INDEX(Regras!$N$4:$N$103,MATCH($D50,Regras!$A$4:$A$103,0)),$W50)),""))</f>
        <v/>
      </c>
      <c r="Y50" s="19">
        <f>IF($AG50&lt;&gt;"Pronta","",IFERROR(ROUND($E50*(1+$X50),2),""))</f>
        <v/>
      </c>
      <c r="Z50" s="29">
        <f>IF(OR($AG50&lt;&gt;"Pronta",$Q50="",$R50=""),"",IFERROR(ROUND(MIN($R50,MAX($Q50,$Y50)),2),""))</f>
        <v/>
      </c>
      <c r="AA50" s="27">
        <f>IF(OR($E50="",$Z50=""),"",IFERROR($Z50/$E50-1,""))</f>
        <v/>
      </c>
      <c r="AB50" s="26">
        <f>IF($Z50="","",IF($Y50&lt;$Q50,"Piso",IF($Y50&gt;$R50,"Teto","Nenhuma")))</f>
        <v/>
      </c>
      <c r="AC50" s="21">
        <f>IF($A50="","",IF($AG50&lt;&gt;"Pronta","Aguardando dados válidos",_xlfn.TEXTJOIN(" | ",TRUE,IF($T50&gt;0,"Demanda: aumento",IF($T50&lt;0,"Demanda: redução","")),IF($U50&gt;0,"Concorrência: aumento",IF($U50&lt;0,"Concorrência: redução","")),IF($V50&gt;0,"Estoque: aumento",IF($V50&lt;0,"Estoque: redução","")),IF(ABS($W50-$X50)&gt;0.0000001,"Limite da rodada aplicado",""),IF($AB50="Piso","Piso vigente aplicado",IF($AB50="Teto","Teto aplicado","")),IF(AND($T50=0,$U50=0,$V50=0),"Sem gatilho de reajuste",""))))</f>
        <v/>
      </c>
      <c r="AD50" s="21">
        <f>IF(OR($A50="",$AG50&lt;&gt;"Pronta"),"",_xlfn.TEXTJOIN(" | ",TRUE,IF($E50&lt;$Q50,"Preço atual abaixo do piso",""),IF($E50&gt;$R50,"Preço atual acima do teto",""),IF(AND($N50&gt;0,$E50&gt;0,1-$N50/$E50&lt;$O50),"Margem estimada do preço atual abaixo do mínimo",""),IF($G50="","Preço concorrente não informado",""),IF($AB50="Piso","Recomendação travada no piso",""),IF($AB50="Teto","Recomendação travada no teto","")))</f>
        <v/>
      </c>
      <c r="AE50" s="19">
        <f>IF($AG50&lt;&gt;"Pronta","",IF($I50="Aprovar recomendação",$Z50,IF($I50="Manter preço atual",$E50,IF($I50="Definir manualmente",$J50,""))))</f>
        <v/>
      </c>
      <c r="AF50" s="21">
        <f>IF($A50="","",IF($AG50&lt;&gt;"Pronta","Aguardando correção",IF(OR($I50="",$I50="Pendente"),"Decisão pendente",IF(AND($I50="Definir manualmente",OR($J50="",$J50&lt;=0)),"Informe o preço manual",IF(OR($AE50&lt;$Q50,$AE50&gt;$R50),"Preço final fora do piso/teto","OK")))))</f>
        <v/>
      </c>
      <c r="AG50" s="26">
        <f>IF(COUNTA($A50:$K50)=0,"",IF(OR($A50="",$B50="",$C50="",$D50="",$E50="",$F50="",$H50=""),"Incompleta",IF(OR(COUNTIF($A$5:$A$204,$A50)&gt;1,NOT(ISNUMBER($B50)),COUNTIF(Produtos!$A$4:$A$103,$C50)&lt;&gt;1,IFERROR(INDEX(Produtos!$K$4:$K$103,MATCH($C50,Produtos!$A$4:$A$103,0))&lt;&gt;"Ativo",TRUE),IFERROR(INDEX(Produtos!$L$4:$L$103,MATCH($C50,Produtos!$A$4:$A$103,0))&lt;&gt;"OK",TRUE),COUNTIF(Regras!$A$4:$A$103,$D50)&lt;&gt;1,IFERROR(INDEX(Regras!$O$4:$O$103,MATCH($D50,Regras!$A$4:$A$103,0))&lt;&gt;"Sim",TRUE),IFERROR(INDEX(Regras!$P$4:$P$103,MATCH($D50,Regras!$A$4:$A$103,0))&lt;&gt;"OK",TRUE),NOT(ISNUMBER($E50)),$E50&lt;=0,NOT(ISNUMBER($F50)),$F50&lt;0,$F50&gt;5,NOT(ISNUMBER($H50)),$H50&lt;0,$H50&lt;&gt;INT($H50),AND($G50&lt;&gt;"",OR(NOT(ISNUMBER($G50)),$G50&lt;=0))),"Revisar","Pronta")))</f>
        <v/>
      </c>
    </row>
    <row r="51">
      <c r="A51" s="16" t="n"/>
      <c r="B51" s="24" t="n"/>
      <c r="C51" s="16" t="n"/>
      <c r="D51" s="16" t="n"/>
      <c r="E51" s="17" t="n"/>
      <c r="F51" s="18" t="n"/>
      <c r="G51" s="17" t="n"/>
      <c r="H51" s="20" t="n"/>
      <c r="I51" s="16" t="n"/>
      <c r="J51" s="17" t="n"/>
      <c r="K51" s="25" t="n"/>
      <c r="L51" s="26">
        <f>IF($C51="","",IFERROR(INDEX(Produtos!$B$4:$B$103,MATCH($C51,Produtos!$A$4:$A$103,0)),""))</f>
        <v/>
      </c>
      <c r="M51" s="26">
        <f>IF($C51="","",IFERROR(INDEX(Produtos!$C$4:$C$103,MATCH($C51,Produtos!$A$4:$A$103,0)),""))</f>
        <v/>
      </c>
      <c r="N51" s="19">
        <f>IF($C51="","",IFERROR(INDEX(Produtos!$D$4:$D$103,MATCH($C51,Produtos!$A$4:$A$103,0)),""))</f>
        <v/>
      </c>
      <c r="O51" s="27">
        <f>IF($C51="","",IFERROR(INDEX(Produtos!$E$4:$E$103,MATCH($C51,Produtos!$A$4:$A$103,0)),""))</f>
        <v/>
      </c>
      <c r="P51" s="19">
        <f>IF($C51="","",IFERROR(INDEX(Produtos!$G$4:$G$103,MATCH($C51,Produtos!$A$4:$A$103,0)),""))</f>
        <v/>
      </c>
      <c r="Q51" s="19">
        <f>IF($C51="","",IFERROR(INDEX(Produtos!$H$4:$H$103,MATCH($C51,Produtos!$A$4:$A$103,0)),""))</f>
        <v/>
      </c>
      <c r="R51" s="19">
        <f>IF($C51="","",IFERROR(INDEX(Produtos!$I$4:$I$103,MATCH($C51,Produtos!$A$4:$A$103,0)),""))</f>
        <v/>
      </c>
      <c r="S51" s="28">
        <f>IF($C51="","",IFERROR(INDEX(Produtos!$J$4:$J$103,MATCH($C51,Produtos!$A$4:$A$103,0)),""))</f>
        <v/>
      </c>
      <c r="T51" s="27">
        <f>IF($AG51&lt;&gt;"Pronta","",IFERROR(IF($F51&lt;=INDEX(Regras!$C$4:$C$103,MATCH($D51,Regras!$A$4:$A$103,0)),INDEX(Regras!$E$4:$E$103,MATCH($D51,Regras!$A$4:$A$103,0)),IF($F51&gt;=INDEX(Regras!$D$4:$D$103,MATCH($D51,Regras!$A$4:$A$103,0)),INDEX(Regras!$F$4:$F$103,MATCH($D51,Regras!$A$4:$A$103,0)),0)),""))</f>
        <v/>
      </c>
      <c r="U51" s="27">
        <f>IF($AG51&lt;&gt;"Pronta","",IFERROR(IF($G51="",0,IF($G51&lt;=$E51*(1-INDEX(Regras!$G$4:$G$103,MATCH($D51,Regras!$A$4:$A$103,0))),INDEX(Regras!$H$4:$H$103,MATCH($D51,Regras!$A$4:$A$103,0)),IF($G51&gt;=$E51*(1+INDEX(Regras!$G$4:$G$103,MATCH($D51,Regras!$A$4:$A$103,0))),INDEX(Regras!$I$4:$I$103,MATCH($D51,Regras!$A$4:$A$103,0)),0))),""))</f>
        <v/>
      </c>
      <c r="V51" s="27">
        <f>IF($AG51&lt;&gt;"Pronta","",IFERROR(IF($H51/$S51&lt;=INDEX(Regras!$J$4:$J$103,MATCH($D51,Regras!$A$4:$A$103,0)),INDEX(Regras!$L$4:$L$103,MATCH($D51,Regras!$A$4:$A$103,0)),IF($H51/$S51&gt;=INDEX(Regras!$K$4:$K$103,MATCH($D51,Regras!$A$4:$A$103,0)),INDEX(Regras!$M$4:$M$103,MATCH($D51,Regras!$A$4:$A$103,0)),0)),""))</f>
        <v/>
      </c>
      <c r="W51" s="27">
        <f>IF($AG51&lt;&gt;"Pronta","",SUM($T51:$V51))</f>
        <v/>
      </c>
      <c r="X51" s="27">
        <f>IF($AG51&lt;&gt;"Pronta","",IFERROR(MAX(-INDEX(Regras!$N$4:$N$103,MATCH($D51,Regras!$A$4:$A$103,0)),MIN(INDEX(Regras!$N$4:$N$103,MATCH($D51,Regras!$A$4:$A$103,0)),$W51)),""))</f>
        <v/>
      </c>
      <c r="Y51" s="19">
        <f>IF($AG51&lt;&gt;"Pronta","",IFERROR(ROUND($E51*(1+$X51),2),""))</f>
        <v/>
      </c>
      <c r="Z51" s="29">
        <f>IF(OR($AG51&lt;&gt;"Pronta",$Q51="",$R51=""),"",IFERROR(ROUND(MIN($R51,MAX($Q51,$Y51)),2),""))</f>
        <v/>
      </c>
      <c r="AA51" s="27">
        <f>IF(OR($E51="",$Z51=""),"",IFERROR($Z51/$E51-1,""))</f>
        <v/>
      </c>
      <c r="AB51" s="26">
        <f>IF($Z51="","",IF($Y51&lt;$Q51,"Piso",IF($Y51&gt;$R51,"Teto","Nenhuma")))</f>
        <v/>
      </c>
      <c r="AC51" s="21">
        <f>IF($A51="","",IF($AG51&lt;&gt;"Pronta","Aguardando dados válidos",_xlfn.TEXTJOIN(" | ",TRUE,IF($T51&gt;0,"Demanda: aumento",IF($T51&lt;0,"Demanda: redução","")),IF($U51&gt;0,"Concorrência: aumento",IF($U51&lt;0,"Concorrência: redução","")),IF($V51&gt;0,"Estoque: aumento",IF($V51&lt;0,"Estoque: redução","")),IF(ABS($W51-$X51)&gt;0.0000001,"Limite da rodada aplicado",""),IF($AB51="Piso","Piso vigente aplicado",IF($AB51="Teto","Teto aplicado","")),IF(AND($T51=0,$U51=0,$V51=0),"Sem gatilho de reajuste",""))))</f>
        <v/>
      </c>
      <c r="AD51" s="21">
        <f>IF(OR($A51="",$AG51&lt;&gt;"Pronta"),"",_xlfn.TEXTJOIN(" | ",TRUE,IF($E51&lt;$Q51,"Preço atual abaixo do piso",""),IF($E51&gt;$R51,"Preço atual acima do teto",""),IF(AND($N51&gt;0,$E51&gt;0,1-$N51/$E51&lt;$O51),"Margem estimada do preço atual abaixo do mínimo",""),IF($G51="","Preço concorrente não informado",""),IF($AB51="Piso","Recomendação travada no piso",""),IF($AB51="Teto","Recomendação travada no teto","")))</f>
        <v/>
      </c>
      <c r="AE51" s="19">
        <f>IF($AG51&lt;&gt;"Pronta","",IF($I51="Aprovar recomendação",$Z51,IF($I51="Manter preço atual",$E51,IF($I51="Definir manualmente",$J51,""))))</f>
        <v/>
      </c>
      <c r="AF51" s="21">
        <f>IF($A51="","",IF($AG51&lt;&gt;"Pronta","Aguardando correção",IF(OR($I51="",$I51="Pendente"),"Decisão pendente",IF(AND($I51="Definir manualmente",OR($J51="",$J51&lt;=0)),"Informe o preço manual",IF(OR($AE51&lt;$Q51,$AE51&gt;$R51),"Preço final fora do piso/teto","OK")))))</f>
        <v/>
      </c>
      <c r="AG51" s="26">
        <f>IF(COUNTA($A51:$K51)=0,"",IF(OR($A51="",$B51="",$C51="",$D51="",$E51="",$F51="",$H51=""),"Incompleta",IF(OR(COUNTIF($A$5:$A$204,$A51)&gt;1,NOT(ISNUMBER($B51)),COUNTIF(Produtos!$A$4:$A$103,$C51)&lt;&gt;1,IFERROR(INDEX(Produtos!$K$4:$K$103,MATCH($C51,Produtos!$A$4:$A$103,0))&lt;&gt;"Ativo",TRUE),IFERROR(INDEX(Produtos!$L$4:$L$103,MATCH($C51,Produtos!$A$4:$A$103,0))&lt;&gt;"OK",TRUE),COUNTIF(Regras!$A$4:$A$103,$D51)&lt;&gt;1,IFERROR(INDEX(Regras!$O$4:$O$103,MATCH($D51,Regras!$A$4:$A$103,0))&lt;&gt;"Sim",TRUE),IFERROR(INDEX(Regras!$P$4:$P$103,MATCH($D51,Regras!$A$4:$A$103,0))&lt;&gt;"OK",TRUE),NOT(ISNUMBER($E51)),$E51&lt;=0,NOT(ISNUMBER($F51)),$F51&lt;0,$F51&gt;5,NOT(ISNUMBER($H51)),$H51&lt;0,$H51&lt;&gt;INT($H51),AND($G51&lt;&gt;"",OR(NOT(ISNUMBER($G51)),$G51&lt;=0))),"Revisar","Pronta")))</f>
        <v/>
      </c>
    </row>
    <row r="52">
      <c r="A52" s="16" t="n"/>
      <c r="B52" s="24" t="n"/>
      <c r="C52" s="16" t="n"/>
      <c r="D52" s="16" t="n"/>
      <c r="E52" s="17" t="n"/>
      <c r="F52" s="18" t="n"/>
      <c r="G52" s="17" t="n"/>
      <c r="H52" s="20" t="n"/>
      <c r="I52" s="16" t="n"/>
      <c r="J52" s="17" t="n"/>
      <c r="K52" s="25" t="n"/>
      <c r="L52" s="26">
        <f>IF($C52="","",IFERROR(INDEX(Produtos!$B$4:$B$103,MATCH($C52,Produtos!$A$4:$A$103,0)),""))</f>
        <v/>
      </c>
      <c r="M52" s="26">
        <f>IF($C52="","",IFERROR(INDEX(Produtos!$C$4:$C$103,MATCH($C52,Produtos!$A$4:$A$103,0)),""))</f>
        <v/>
      </c>
      <c r="N52" s="19">
        <f>IF($C52="","",IFERROR(INDEX(Produtos!$D$4:$D$103,MATCH($C52,Produtos!$A$4:$A$103,0)),""))</f>
        <v/>
      </c>
      <c r="O52" s="27">
        <f>IF($C52="","",IFERROR(INDEX(Produtos!$E$4:$E$103,MATCH($C52,Produtos!$A$4:$A$103,0)),""))</f>
        <v/>
      </c>
      <c r="P52" s="19">
        <f>IF($C52="","",IFERROR(INDEX(Produtos!$G$4:$G$103,MATCH($C52,Produtos!$A$4:$A$103,0)),""))</f>
        <v/>
      </c>
      <c r="Q52" s="19">
        <f>IF($C52="","",IFERROR(INDEX(Produtos!$H$4:$H$103,MATCH($C52,Produtos!$A$4:$A$103,0)),""))</f>
        <v/>
      </c>
      <c r="R52" s="19">
        <f>IF($C52="","",IFERROR(INDEX(Produtos!$I$4:$I$103,MATCH($C52,Produtos!$A$4:$A$103,0)),""))</f>
        <v/>
      </c>
      <c r="S52" s="28">
        <f>IF($C52="","",IFERROR(INDEX(Produtos!$J$4:$J$103,MATCH($C52,Produtos!$A$4:$A$103,0)),""))</f>
        <v/>
      </c>
      <c r="T52" s="27">
        <f>IF($AG52&lt;&gt;"Pronta","",IFERROR(IF($F52&lt;=INDEX(Regras!$C$4:$C$103,MATCH($D52,Regras!$A$4:$A$103,0)),INDEX(Regras!$E$4:$E$103,MATCH($D52,Regras!$A$4:$A$103,0)),IF($F52&gt;=INDEX(Regras!$D$4:$D$103,MATCH($D52,Regras!$A$4:$A$103,0)),INDEX(Regras!$F$4:$F$103,MATCH($D52,Regras!$A$4:$A$103,0)),0)),""))</f>
        <v/>
      </c>
      <c r="U52" s="27">
        <f>IF($AG52&lt;&gt;"Pronta","",IFERROR(IF($G52="",0,IF($G52&lt;=$E52*(1-INDEX(Regras!$G$4:$G$103,MATCH($D52,Regras!$A$4:$A$103,0))),INDEX(Regras!$H$4:$H$103,MATCH($D52,Regras!$A$4:$A$103,0)),IF($G52&gt;=$E52*(1+INDEX(Regras!$G$4:$G$103,MATCH($D52,Regras!$A$4:$A$103,0))),INDEX(Regras!$I$4:$I$103,MATCH($D52,Regras!$A$4:$A$103,0)),0))),""))</f>
        <v/>
      </c>
      <c r="V52" s="27">
        <f>IF($AG52&lt;&gt;"Pronta","",IFERROR(IF($H52/$S52&lt;=INDEX(Regras!$J$4:$J$103,MATCH($D52,Regras!$A$4:$A$103,0)),INDEX(Regras!$L$4:$L$103,MATCH($D52,Regras!$A$4:$A$103,0)),IF($H52/$S52&gt;=INDEX(Regras!$K$4:$K$103,MATCH($D52,Regras!$A$4:$A$103,0)),INDEX(Regras!$M$4:$M$103,MATCH($D52,Regras!$A$4:$A$103,0)),0)),""))</f>
        <v/>
      </c>
      <c r="W52" s="27">
        <f>IF($AG52&lt;&gt;"Pronta","",SUM($T52:$V52))</f>
        <v/>
      </c>
      <c r="X52" s="27">
        <f>IF($AG52&lt;&gt;"Pronta","",IFERROR(MAX(-INDEX(Regras!$N$4:$N$103,MATCH($D52,Regras!$A$4:$A$103,0)),MIN(INDEX(Regras!$N$4:$N$103,MATCH($D52,Regras!$A$4:$A$103,0)),$W52)),""))</f>
        <v/>
      </c>
      <c r="Y52" s="19">
        <f>IF($AG52&lt;&gt;"Pronta","",IFERROR(ROUND($E52*(1+$X52),2),""))</f>
        <v/>
      </c>
      <c r="Z52" s="29">
        <f>IF(OR($AG52&lt;&gt;"Pronta",$Q52="",$R52=""),"",IFERROR(ROUND(MIN($R52,MAX($Q52,$Y52)),2),""))</f>
        <v/>
      </c>
      <c r="AA52" s="27">
        <f>IF(OR($E52="",$Z52=""),"",IFERROR($Z52/$E52-1,""))</f>
        <v/>
      </c>
      <c r="AB52" s="26">
        <f>IF($Z52="","",IF($Y52&lt;$Q52,"Piso",IF($Y52&gt;$R52,"Teto","Nenhuma")))</f>
        <v/>
      </c>
      <c r="AC52" s="21">
        <f>IF($A52="","",IF($AG52&lt;&gt;"Pronta","Aguardando dados válidos",_xlfn.TEXTJOIN(" | ",TRUE,IF($T52&gt;0,"Demanda: aumento",IF($T52&lt;0,"Demanda: redução","")),IF($U52&gt;0,"Concorrência: aumento",IF($U52&lt;0,"Concorrência: redução","")),IF($V52&gt;0,"Estoque: aumento",IF($V52&lt;0,"Estoque: redução","")),IF(ABS($W52-$X52)&gt;0.0000001,"Limite da rodada aplicado",""),IF($AB52="Piso","Piso vigente aplicado",IF($AB52="Teto","Teto aplicado","")),IF(AND($T52=0,$U52=0,$V52=0),"Sem gatilho de reajuste",""))))</f>
        <v/>
      </c>
      <c r="AD52" s="21">
        <f>IF(OR($A52="",$AG52&lt;&gt;"Pronta"),"",_xlfn.TEXTJOIN(" | ",TRUE,IF($E52&lt;$Q52,"Preço atual abaixo do piso",""),IF($E52&gt;$R52,"Preço atual acima do teto",""),IF(AND($N52&gt;0,$E52&gt;0,1-$N52/$E52&lt;$O52),"Margem estimada do preço atual abaixo do mínimo",""),IF($G52="","Preço concorrente não informado",""),IF($AB52="Piso","Recomendação travada no piso",""),IF($AB52="Teto","Recomendação travada no teto","")))</f>
        <v/>
      </c>
      <c r="AE52" s="19">
        <f>IF($AG52&lt;&gt;"Pronta","",IF($I52="Aprovar recomendação",$Z52,IF($I52="Manter preço atual",$E52,IF($I52="Definir manualmente",$J52,""))))</f>
        <v/>
      </c>
      <c r="AF52" s="21">
        <f>IF($A52="","",IF($AG52&lt;&gt;"Pronta","Aguardando correção",IF(OR($I52="",$I52="Pendente"),"Decisão pendente",IF(AND($I52="Definir manualmente",OR($J52="",$J52&lt;=0)),"Informe o preço manual",IF(OR($AE52&lt;$Q52,$AE52&gt;$R52),"Preço final fora do piso/teto","OK")))))</f>
        <v/>
      </c>
      <c r="AG52" s="26">
        <f>IF(COUNTA($A52:$K52)=0,"",IF(OR($A52="",$B52="",$C52="",$D52="",$E52="",$F52="",$H52=""),"Incompleta",IF(OR(COUNTIF($A$5:$A$204,$A52)&gt;1,NOT(ISNUMBER($B52)),COUNTIF(Produtos!$A$4:$A$103,$C52)&lt;&gt;1,IFERROR(INDEX(Produtos!$K$4:$K$103,MATCH($C52,Produtos!$A$4:$A$103,0))&lt;&gt;"Ativo",TRUE),IFERROR(INDEX(Produtos!$L$4:$L$103,MATCH($C52,Produtos!$A$4:$A$103,0))&lt;&gt;"OK",TRUE),COUNTIF(Regras!$A$4:$A$103,$D52)&lt;&gt;1,IFERROR(INDEX(Regras!$O$4:$O$103,MATCH($D52,Regras!$A$4:$A$103,0))&lt;&gt;"Sim",TRUE),IFERROR(INDEX(Regras!$P$4:$P$103,MATCH($D52,Regras!$A$4:$A$103,0))&lt;&gt;"OK",TRUE),NOT(ISNUMBER($E52)),$E52&lt;=0,NOT(ISNUMBER($F52)),$F52&lt;0,$F52&gt;5,NOT(ISNUMBER($H52)),$H52&lt;0,$H52&lt;&gt;INT($H52),AND($G52&lt;&gt;"",OR(NOT(ISNUMBER($G52)),$G52&lt;=0))),"Revisar","Pronta")))</f>
        <v/>
      </c>
    </row>
    <row r="53">
      <c r="A53" s="16" t="n"/>
      <c r="B53" s="24" t="n"/>
      <c r="C53" s="16" t="n"/>
      <c r="D53" s="16" t="n"/>
      <c r="E53" s="17" t="n"/>
      <c r="F53" s="18" t="n"/>
      <c r="G53" s="17" t="n"/>
      <c r="H53" s="20" t="n"/>
      <c r="I53" s="16" t="n"/>
      <c r="J53" s="17" t="n"/>
      <c r="K53" s="25" t="n"/>
      <c r="L53" s="26">
        <f>IF($C53="","",IFERROR(INDEX(Produtos!$B$4:$B$103,MATCH($C53,Produtos!$A$4:$A$103,0)),""))</f>
        <v/>
      </c>
      <c r="M53" s="26">
        <f>IF($C53="","",IFERROR(INDEX(Produtos!$C$4:$C$103,MATCH($C53,Produtos!$A$4:$A$103,0)),""))</f>
        <v/>
      </c>
      <c r="N53" s="19">
        <f>IF($C53="","",IFERROR(INDEX(Produtos!$D$4:$D$103,MATCH($C53,Produtos!$A$4:$A$103,0)),""))</f>
        <v/>
      </c>
      <c r="O53" s="27">
        <f>IF($C53="","",IFERROR(INDEX(Produtos!$E$4:$E$103,MATCH($C53,Produtos!$A$4:$A$103,0)),""))</f>
        <v/>
      </c>
      <c r="P53" s="19">
        <f>IF($C53="","",IFERROR(INDEX(Produtos!$G$4:$G$103,MATCH($C53,Produtos!$A$4:$A$103,0)),""))</f>
        <v/>
      </c>
      <c r="Q53" s="19">
        <f>IF($C53="","",IFERROR(INDEX(Produtos!$H$4:$H$103,MATCH($C53,Produtos!$A$4:$A$103,0)),""))</f>
        <v/>
      </c>
      <c r="R53" s="19">
        <f>IF($C53="","",IFERROR(INDEX(Produtos!$I$4:$I$103,MATCH($C53,Produtos!$A$4:$A$103,0)),""))</f>
        <v/>
      </c>
      <c r="S53" s="28">
        <f>IF($C53="","",IFERROR(INDEX(Produtos!$J$4:$J$103,MATCH($C53,Produtos!$A$4:$A$103,0)),""))</f>
        <v/>
      </c>
      <c r="T53" s="27">
        <f>IF($AG53&lt;&gt;"Pronta","",IFERROR(IF($F53&lt;=INDEX(Regras!$C$4:$C$103,MATCH($D53,Regras!$A$4:$A$103,0)),INDEX(Regras!$E$4:$E$103,MATCH($D53,Regras!$A$4:$A$103,0)),IF($F53&gt;=INDEX(Regras!$D$4:$D$103,MATCH($D53,Regras!$A$4:$A$103,0)),INDEX(Regras!$F$4:$F$103,MATCH($D53,Regras!$A$4:$A$103,0)),0)),""))</f>
        <v/>
      </c>
      <c r="U53" s="27">
        <f>IF($AG53&lt;&gt;"Pronta","",IFERROR(IF($G53="",0,IF($G53&lt;=$E53*(1-INDEX(Regras!$G$4:$G$103,MATCH($D53,Regras!$A$4:$A$103,0))),INDEX(Regras!$H$4:$H$103,MATCH($D53,Regras!$A$4:$A$103,0)),IF($G53&gt;=$E53*(1+INDEX(Regras!$G$4:$G$103,MATCH($D53,Regras!$A$4:$A$103,0))),INDEX(Regras!$I$4:$I$103,MATCH($D53,Regras!$A$4:$A$103,0)),0))),""))</f>
        <v/>
      </c>
      <c r="V53" s="27">
        <f>IF($AG53&lt;&gt;"Pronta","",IFERROR(IF($H53/$S53&lt;=INDEX(Regras!$J$4:$J$103,MATCH($D53,Regras!$A$4:$A$103,0)),INDEX(Regras!$L$4:$L$103,MATCH($D53,Regras!$A$4:$A$103,0)),IF($H53/$S53&gt;=INDEX(Regras!$K$4:$K$103,MATCH($D53,Regras!$A$4:$A$103,0)),INDEX(Regras!$M$4:$M$103,MATCH($D53,Regras!$A$4:$A$103,0)),0)),""))</f>
        <v/>
      </c>
      <c r="W53" s="27">
        <f>IF($AG53&lt;&gt;"Pronta","",SUM($T53:$V53))</f>
        <v/>
      </c>
      <c r="X53" s="27">
        <f>IF($AG53&lt;&gt;"Pronta","",IFERROR(MAX(-INDEX(Regras!$N$4:$N$103,MATCH($D53,Regras!$A$4:$A$103,0)),MIN(INDEX(Regras!$N$4:$N$103,MATCH($D53,Regras!$A$4:$A$103,0)),$W53)),""))</f>
        <v/>
      </c>
      <c r="Y53" s="19">
        <f>IF($AG53&lt;&gt;"Pronta","",IFERROR(ROUND($E53*(1+$X53),2),""))</f>
        <v/>
      </c>
      <c r="Z53" s="29">
        <f>IF(OR($AG53&lt;&gt;"Pronta",$Q53="",$R53=""),"",IFERROR(ROUND(MIN($R53,MAX($Q53,$Y53)),2),""))</f>
        <v/>
      </c>
      <c r="AA53" s="27">
        <f>IF(OR($E53="",$Z53=""),"",IFERROR($Z53/$E53-1,""))</f>
        <v/>
      </c>
      <c r="AB53" s="26">
        <f>IF($Z53="","",IF($Y53&lt;$Q53,"Piso",IF($Y53&gt;$R53,"Teto","Nenhuma")))</f>
        <v/>
      </c>
      <c r="AC53" s="21">
        <f>IF($A53="","",IF($AG53&lt;&gt;"Pronta","Aguardando dados válidos",_xlfn.TEXTJOIN(" | ",TRUE,IF($T53&gt;0,"Demanda: aumento",IF($T53&lt;0,"Demanda: redução","")),IF($U53&gt;0,"Concorrência: aumento",IF($U53&lt;0,"Concorrência: redução","")),IF($V53&gt;0,"Estoque: aumento",IF($V53&lt;0,"Estoque: redução","")),IF(ABS($W53-$X53)&gt;0.0000001,"Limite da rodada aplicado",""),IF($AB53="Piso","Piso vigente aplicado",IF($AB53="Teto","Teto aplicado","")),IF(AND($T53=0,$U53=0,$V53=0),"Sem gatilho de reajuste",""))))</f>
        <v/>
      </c>
      <c r="AD53" s="21">
        <f>IF(OR($A53="",$AG53&lt;&gt;"Pronta"),"",_xlfn.TEXTJOIN(" | ",TRUE,IF($E53&lt;$Q53,"Preço atual abaixo do piso",""),IF($E53&gt;$R53,"Preço atual acima do teto",""),IF(AND($N53&gt;0,$E53&gt;0,1-$N53/$E53&lt;$O53),"Margem estimada do preço atual abaixo do mínimo",""),IF($G53="","Preço concorrente não informado",""),IF($AB53="Piso","Recomendação travada no piso",""),IF($AB53="Teto","Recomendação travada no teto","")))</f>
        <v/>
      </c>
      <c r="AE53" s="19">
        <f>IF($AG53&lt;&gt;"Pronta","",IF($I53="Aprovar recomendação",$Z53,IF($I53="Manter preço atual",$E53,IF($I53="Definir manualmente",$J53,""))))</f>
        <v/>
      </c>
      <c r="AF53" s="21">
        <f>IF($A53="","",IF($AG53&lt;&gt;"Pronta","Aguardando correção",IF(OR($I53="",$I53="Pendente"),"Decisão pendente",IF(AND($I53="Definir manualmente",OR($J53="",$J53&lt;=0)),"Informe o preço manual",IF(OR($AE53&lt;$Q53,$AE53&gt;$R53),"Preço final fora do piso/teto","OK")))))</f>
        <v/>
      </c>
      <c r="AG53" s="26">
        <f>IF(COUNTA($A53:$K53)=0,"",IF(OR($A53="",$B53="",$C53="",$D53="",$E53="",$F53="",$H53=""),"Incompleta",IF(OR(COUNTIF($A$5:$A$204,$A53)&gt;1,NOT(ISNUMBER($B53)),COUNTIF(Produtos!$A$4:$A$103,$C53)&lt;&gt;1,IFERROR(INDEX(Produtos!$K$4:$K$103,MATCH($C53,Produtos!$A$4:$A$103,0))&lt;&gt;"Ativo",TRUE),IFERROR(INDEX(Produtos!$L$4:$L$103,MATCH($C53,Produtos!$A$4:$A$103,0))&lt;&gt;"OK",TRUE),COUNTIF(Regras!$A$4:$A$103,$D53)&lt;&gt;1,IFERROR(INDEX(Regras!$O$4:$O$103,MATCH($D53,Regras!$A$4:$A$103,0))&lt;&gt;"Sim",TRUE),IFERROR(INDEX(Regras!$P$4:$P$103,MATCH($D53,Regras!$A$4:$A$103,0))&lt;&gt;"OK",TRUE),NOT(ISNUMBER($E53)),$E53&lt;=0,NOT(ISNUMBER($F53)),$F53&lt;0,$F53&gt;5,NOT(ISNUMBER($H53)),$H53&lt;0,$H53&lt;&gt;INT($H53),AND($G53&lt;&gt;"",OR(NOT(ISNUMBER($G53)),$G53&lt;=0))),"Revisar","Pronta")))</f>
        <v/>
      </c>
    </row>
    <row r="54">
      <c r="A54" s="16" t="n"/>
      <c r="B54" s="24" t="n"/>
      <c r="C54" s="16" t="n"/>
      <c r="D54" s="16" t="n"/>
      <c r="E54" s="17" t="n"/>
      <c r="F54" s="18" t="n"/>
      <c r="G54" s="17" t="n"/>
      <c r="H54" s="20" t="n"/>
      <c r="I54" s="16" t="n"/>
      <c r="J54" s="17" t="n"/>
      <c r="K54" s="25" t="n"/>
      <c r="L54" s="26">
        <f>IF($C54="","",IFERROR(INDEX(Produtos!$B$4:$B$103,MATCH($C54,Produtos!$A$4:$A$103,0)),""))</f>
        <v/>
      </c>
      <c r="M54" s="26">
        <f>IF($C54="","",IFERROR(INDEX(Produtos!$C$4:$C$103,MATCH($C54,Produtos!$A$4:$A$103,0)),""))</f>
        <v/>
      </c>
      <c r="N54" s="19">
        <f>IF($C54="","",IFERROR(INDEX(Produtos!$D$4:$D$103,MATCH($C54,Produtos!$A$4:$A$103,0)),""))</f>
        <v/>
      </c>
      <c r="O54" s="27">
        <f>IF($C54="","",IFERROR(INDEX(Produtos!$E$4:$E$103,MATCH($C54,Produtos!$A$4:$A$103,0)),""))</f>
        <v/>
      </c>
      <c r="P54" s="19">
        <f>IF($C54="","",IFERROR(INDEX(Produtos!$G$4:$G$103,MATCH($C54,Produtos!$A$4:$A$103,0)),""))</f>
        <v/>
      </c>
      <c r="Q54" s="19">
        <f>IF($C54="","",IFERROR(INDEX(Produtos!$H$4:$H$103,MATCH($C54,Produtos!$A$4:$A$103,0)),""))</f>
        <v/>
      </c>
      <c r="R54" s="19">
        <f>IF($C54="","",IFERROR(INDEX(Produtos!$I$4:$I$103,MATCH($C54,Produtos!$A$4:$A$103,0)),""))</f>
        <v/>
      </c>
      <c r="S54" s="28">
        <f>IF($C54="","",IFERROR(INDEX(Produtos!$J$4:$J$103,MATCH($C54,Produtos!$A$4:$A$103,0)),""))</f>
        <v/>
      </c>
      <c r="T54" s="27">
        <f>IF($AG54&lt;&gt;"Pronta","",IFERROR(IF($F54&lt;=INDEX(Regras!$C$4:$C$103,MATCH($D54,Regras!$A$4:$A$103,0)),INDEX(Regras!$E$4:$E$103,MATCH($D54,Regras!$A$4:$A$103,0)),IF($F54&gt;=INDEX(Regras!$D$4:$D$103,MATCH($D54,Regras!$A$4:$A$103,0)),INDEX(Regras!$F$4:$F$103,MATCH($D54,Regras!$A$4:$A$103,0)),0)),""))</f>
        <v/>
      </c>
      <c r="U54" s="27">
        <f>IF($AG54&lt;&gt;"Pronta","",IFERROR(IF($G54="",0,IF($G54&lt;=$E54*(1-INDEX(Regras!$G$4:$G$103,MATCH($D54,Regras!$A$4:$A$103,0))),INDEX(Regras!$H$4:$H$103,MATCH($D54,Regras!$A$4:$A$103,0)),IF($G54&gt;=$E54*(1+INDEX(Regras!$G$4:$G$103,MATCH($D54,Regras!$A$4:$A$103,0))),INDEX(Regras!$I$4:$I$103,MATCH($D54,Regras!$A$4:$A$103,0)),0))),""))</f>
        <v/>
      </c>
      <c r="V54" s="27">
        <f>IF($AG54&lt;&gt;"Pronta","",IFERROR(IF($H54/$S54&lt;=INDEX(Regras!$J$4:$J$103,MATCH($D54,Regras!$A$4:$A$103,0)),INDEX(Regras!$L$4:$L$103,MATCH($D54,Regras!$A$4:$A$103,0)),IF($H54/$S54&gt;=INDEX(Regras!$K$4:$K$103,MATCH($D54,Regras!$A$4:$A$103,0)),INDEX(Regras!$M$4:$M$103,MATCH($D54,Regras!$A$4:$A$103,0)),0)),""))</f>
        <v/>
      </c>
      <c r="W54" s="27">
        <f>IF($AG54&lt;&gt;"Pronta","",SUM($T54:$V54))</f>
        <v/>
      </c>
      <c r="X54" s="27">
        <f>IF($AG54&lt;&gt;"Pronta","",IFERROR(MAX(-INDEX(Regras!$N$4:$N$103,MATCH($D54,Regras!$A$4:$A$103,0)),MIN(INDEX(Regras!$N$4:$N$103,MATCH($D54,Regras!$A$4:$A$103,0)),$W54)),""))</f>
        <v/>
      </c>
      <c r="Y54" s="19">
        <f>IF($AG54&lt;&gt;"Pronta","",IFERROR(ROUND($E54*(1+$X54),2),""))</f>
        <v/>
      </c>
      <c r="Z54" s="29">
        <f>IF(OR($AG54&lt;&gt;"Pronta",$Q54="",$R54=""),"",IFERROR(ROUND(MIN($R54,MAX($Q54,$Y54)),2),""))</f>
        <v/>
      </c>
      <c r="AA54" s="27">
        <f>IF(OR($E54="",$Z54=""),"",IFERROR($Z54/$E54-1,""))</f>
        <v/>
      </c>
      <c r="AB54" s="26">
        <f>IF($Z54="","",IF($Y54&lt;$Q54,"Piso",IF($Y54&gt;$R54,"Teto","Nenhuma")))</f>
        <v/>
      </c>
      <c r="AC54" s="21">
        <f>IF($A54="","",IF($AG54&lt;&gt;"Pronta","Aguardando dados válidos",_xlfn.TEXTJOIN(" | ",TRUE,IF($T54&gt;0,"Demanda: aumento",IF($T54&lt;0,"Demanda: redução","")),IF($U54&gt;0,"Concorrência: aumento",IF($U54&lt;0,"Concorrência: redução","")),IF($V54&gt;0,"Estoque: aumento",IF($V54&lt;0,"Estoque: redução","")),IF(ABS($W54-$X54)&gt;0.0000001,"Limite da rodada aplicado",""),IF($AB54="Piso","Piso vigente aplicado",IF($AB54="Teto","Teto aplicado","")),IF(AND($T54=0,$U54=0,$V54=0),"Sem gatilho de reajuste",""))))</f>
        <v/>
      </c>
      <c r="AD54" s="21">
        <f>IF(OR($A54="",$AG54&lt;&gt;"Pronta"),"",_xlfn.TEXTJOIN(" | ",TRUE,IF($E54&lt;$Q54,"Preço atual abaixo do piso",""),IF($E54&gt;$R54,"Preço atual acima do teto",""),IF(AND($N54&gt;0,$E54&gt;0,1-$N54/$E54&lt;$O54),"Margem estimada do preço atual abaixo do mínimo",""),IF($G54="","Preço concorrente não informado",""),IF($AB54="Piso","Recomendação travada no piso",""),IF($AB54="Teto","Recomendação travada no teto","")))</f>
        <v/>
      </c>
      <c r="AE54" s="19">
        <f>IF($AG54&lt;&gt;"Pronta","",IF($I54="Aprovar recomendação",$Z54,IF($I54="Manter preço atual",$E54,IF($I54="Definir manualmente",$J54,""))))</f>
        <v/>
      </c>
      <c r="AF54" s="21">
        <f>IF($A54="","",IF($AG54&lt;&gt;"Pronta","Aguardando correção",IF(OR($I54="",$I54="Pendente"),"Decisão pendente",IF(AND($I54="Definir manualmente",OR($J54="",$J54&lt;=0)),"Informe o preço manual",IF(OR($AE54&lt;$Q54,$AE54&gt;$R54),"Preço final fora do piso/teto","OK")))))</f>
        <v/>
      </c>
      <c r="AG54" s="26">
        <f>IF(COUNTA($A54:$K54)=0,"",IF(OR($A54="",$B54="",$C54="",$D54="",$E54="",$F54="",$H54=""),"Incompleta",IF(OR(COUNTIF($A$5:$A$204,$A54)&gt;1,NOT(ISNUMBER($B54)),COUNTIF(Produtos!$A$4:$A$103,$C54)&lt;&gt;1,IFERROR(INDEX(Produtos!$K$4:$K$103,MATCH($C54,Produtos!$A$4:$A$103,0))&lt;&gt;"Ativo",TRUE),IFERROR(INDEX(Produtos!$L$4:$L$103,MATCH($C54,Produtos!$A$4:$A$103,0))&lt;&gt;"OK",TRUE),COUNTIF(Regras!$A$4:$A$103,$D54)&lt;&gt;1,IFERROR(INDEX(Regras!$O$4:$O$103,MATCH($D54,Regras!$A$4:$A$103,0))&lt;&gt;"Sim",TRUE),IFERROR(INDEX(Regras!$P$4:$P$103,MATCH($D54,Regras!$A$4:$A$103,0))&lt;&gt;"OK",TRUE),NOT(ISNUMBER($E54)),$E54&lt;=0,NOT(ISNUMBER($F54)),$F54&lt;0,$F54&gt;5,NOT(ISNUMBER($H54)),$H54&lt;0,$H54&lt;&gt;INT($H54),AND($G54&lt;&gt;"",OR(NOT(ISNUMBER($G54)),$G54&lt;=0))),"Revisar","Pronta")))</f>
        <v/>
      </c>
    </row>
    <row r="55">
      <c r="A55" s="16" t="n"/>
      <c r="B55" s="24" t="n"/>
      <c r="C55" s="16" t="n"/>
      <c r="D55" s="16" t="n"/>
      <c r="E55" s="17" t="n"/>
      <c r="F55" s="18" t="n"/>
      <c r="G55" s="17" t="n"/>
      <c r="H55" s="20" t="n"/>
      <c r="I55" s="16" t="n"/>
      <c r="J55" s="17" t="n"/>
      <c r="K55" s="25" t="n"/>
      <c r="L55" s="26">
        <f>IF($C55="","",IFERROR(INDEX(Produtos!$B$4:$B$103,MATCH($C55,Produtos!$A$4:$A$103,0)),""))</f>
        <v/>
      </c>
      <c r="M55" s="26">
        <f>IF($C55="","",IFERROR(INDEX(Produtos!$C$4:$C$103,MATCH($C55,Produtos!$A$4:$A$103,0)),""))</f>
        <v/>
      </c>
      <c r="N55" s="19">
        <f>IF($C55="","",IFERROR(INDEX(Produtos!$D$4:$D$103,MATCH($C55,Produtos!$A$4:$A$103,0)),""))</f>
        <v/>
      </c>
      <c r="O55" s="27">
        <f>IF($C55="","",IFERROR(INDEX(Produtos!$E$4:$E$103,MATCH($C55,Produtos!$A$4:$A$103,0)),""))</f>
        <v/>
      </c>
      <c r="P55" s="19">
        <f>IF($C55="","",IFERROR(INDEX(Produtos!$G$4:$G$103,MATCH($C55,Produtos!$A$4:$A$103,0)),""))</f>
        <v/>
      </c>
      <c r="Q55" s="19">
        <f>IF($C55="","",IFERROR(INDEX(Produtos!$H$4:$H$103,MATCH($C55,Produtos!$A$4:$A$103,0)),""))</f>
        <v/>
      </c>
      <c r="R55" s="19">
        <f>IF($C55="","",IFERROR(INDEX(Produtos!$I$4:$I$103,MATCH($C55,Produtos!$A$4:$A$103,0)),""))</f>
        <v/>
      </c>
      <c r="S55" s="28">
        <f>IF($C55="","",IFERROR(INDEX(Produtos!$J$4:$J$103,MATCH($C55,Produtos!$A$4:$A$103,0)),""))</f>
        <v/>
      </c>
      <c r="T55" s="27">
        <f>IF($AG55&lt;&gt;"Pronta","",IFERROR(IF($F55&lt;=INDEX(Regras!$C$4:$C$103,MATCH($D55,Regras!$A$4:$A$103,0)),INDEX(Regras!$E$4:$E$103,MATCH($D55,Regras!$A$4:$A$103,0)),IF($F55&gt;=INDEX(Regras!$D$4:$D$103,MATCH($D55,Regras!$A$4:$A$103,0)),INDEX(Regras!$F$4:$F$103,MATCH($D55,Regras!$A$4:$A$103,0)),0)),""))</f>
        <v/>
      </c>
      <c r="U55" s="27">
        <f>IF($AG55&lt;&gt;"Pronta","",IFERROR(IF($G55="",0,IF($G55&lt;=$E55*(1-INDEX(Regras!$G$4:$G$103,MATCH($D55,Regras!$A$4:$A$103,0))),INDEX(Regras!$H$4:$H$103,MATCH($D55,Regras!$A$4:$A$103,0)),IF($G55&gt;=$E55*(1+INDEX(Regras!$G$4:$G$103,MATCH($D55,Regras!$A$4:$A$103,0))),INDEX(Regras!$I$4:$I$103,MATCH($D55,Regras!$A$4:$A$103,0)),0))),""))</f>
        <v/>
      </c>
      <c r="V55" s="27">
        <f>IF($AG55&lt;&gt;"Pronta","",IFERROR(IF($H55/$S55&lt;=INDEX(Regras!$J$4:$J$103,MATCH($D55,Regras!$A$4:$A$103,0)),INDEX(Regras!$L$4:$L$103,MATCH($D55,Regras!$A$4:$A$103,0)),IF($H55/$S55&gt;=INDEX(Regras!$K$4:$K$103,MATCH($D55,Regras!$A$4:$A$103,0)),INDEX(Regras!$M$4:$M$103,MATCH($D55,Regras!$A$4:$A$103,0)),0)),""))</f>
        <v/>
      </c>
      <c r="W55" s="27">
        <f>IF($AG55&lt;&gt;"Pronta","",SUM($T55:$V55))</f>
        <v/>
      </c>
      <c r="X55" s="27">
        <f>IF($AG55&lt;&gt;"Pronta","",IFERROR(MAX(-INDEX(Regras!$N$4:$N$103,MATCH($D55,Regras!$A$4:$A$103,0)),MIN(INDEX(Regras!$N$4:$N$103,MATCH($D55,Regras!$A$4:$A$103,0)),$W55)),""))</f>
        <v/>
      </c>
      <c r="Y55" s="19">
        <f>IF($AG55&lt;&gt;"Pronta","",IFERROR(ROUND($E55*(1+$X55),2),""))</f>
        <v/>
      </c>
      <c r="Z55" s="29">
        <f>IF(OR($AG55&lt;&gt;"Pronta",$Q55="",$R55=""),"",IFERROR(ROUND(MIN($R55,MAX($Q55,$Y55)),2),""))</f>
        <v/>
      </c>
      <c r="AA55" s="27">
        <f>IF(OR($E55="",$Z55=""),"",IFERROR($Z55/$E55-1,""))</f>
        <v/>
      </c>
      <c r="AB55" s="26">
        <f>IF($Z55="","",IF($Y55&lt;$Q55,"Piso",IF($Y55&gt;$R55,"Teto","Nenhuma")))</f>
        <v/>
      </c>
      <c r="AC55" s="21">
        <f>IF($A55="","",IF($AG55&lt;&gt;"Pronta","Aguardando dados válidos",_xlfn.TEXTJOIN(" | ",TRUE,IF($T55&gt;0,"Demanda: aumento",IF($T55&lt;0,"Demanda: redução","")),IF($U55&gt;0,"Concorrência: aumento",IF($U55&lt;0,"Concorrência: redução","")),IF($V55&gt;0,"Estoque: aumento",IF($V55&lt;0,"Estoque: redução","")),IF(ABS($W55-$X55)&gt;0.0000001,"Limite da rodada aplicado",""),IF($AB55="Piso","Piso vigente aplicado",IF($AB55="Teto","Teto aplicado","")),IF(AND($T55=0,$U55=0,$V55=0),"Sem gatilho de reajuste",""))))</f>
        <v/>
      </c>
      <c r="AD55" s="21">
        <f>IF(OR($A55="",$AG55&lt;&gt;"Pronta"),"",_xlfn.TEXTJOIN(" | ",TRUE,IF($E55&lt;$Q55,"Preço atual abaixo do piso",""),IF($E55&gt;$R55,"Preço atual acima do teto",""),IF(AND($N55&gt;0,$E55&gt;0,1-$N55/$E55&lt;$O55),"Margem estimada do preço atual abaixo do mínimo",""),IF($G55="","Preço concorrente não informado",""),IF($AB55="Piso","Recomendação travada no piso",""),IF($AB55="Teto","Recomendação travada no teto","")))</f>
        <v/>
      </c>
      <c r="AE55" s="19">
        <f>IF($AG55&lt;&gt;"Pronta","",IF($I55="Aprovar recomendação",$Z55,IF($I55="Manter preço atual",$E55,IF($I55="Definir manualmente",$J55,""))))</f>
        <v/>
      </c>
      <c r="AF55" s="21">
        <f>IF($A55="","",IF($AG55&lt;&gt;"Pronta","Aguardando correção",IF(OR($I55="",$I55="Pendente"),"Decisão pendente",IF(AND($I55="Definir manualmente",OR($J55="",$J55&lt;=0)),"Informe o preço manual",IF(OR($AE55&lt;$Q55,$AE55&gt;$R55),"Preço final fora do piso/teto","OK")))))</f>
        <v/>
      </c>
      <c r="AG55" s="26">
        <f>IF(COUNTA($A55:$K55)=0,"",IF(OR($A55="",$B55="",$C55="",$D55="",$E55="",$F55="",$H55=""),"Incompleta",IF(OR(COUNTIF($A$5:$A$204,$A55)&gt;1,NOT(ISNUMBER($B55)),COUNTIF(Produtos!$A$4:$A$103,$C55)&lt;&gt;1,IFERROR(INDEX(Produtos!$K$4:$K$103,MATCH($C55,Produtos!$A$4:$A$103,0))&lt;&gt;"Ativo",TRUE),IFERROR(INDEX(Produtos!$L$4:$L$103,MATCH($C55,Produtos!$A$4:$A$103,0))&lt;&gt;"OK",TRUE),COUNTIF(Regras!$A$4:$A$103,$D55)&lt;&gt;1,IFERROR(INDEX(Regras!$O$4:$O$103,MATCH($D55,Regras!$A$4:$A$103,0))&lt;&gt;"Sim",TRUE),IFERROR(INDEX(Regras!$P$4:$P$103,MATCH($D55,Regras!$A$4:$A$103,0))&lt;&gt;"OK",TRUE),NOT(ISNUMBER($E55)),$E55&lt;=0,NOT(ISNUMBER($F55)),$F55&lt;0,$F55&gt;5,NOT(ISNUMBER($H55)),$H55&lt;0,$H55&lt;&gt;INT($H55),AND($G55&lt;&gt;"",OR(NOT(ISNUMBER($G55)),$G55&lt;=0))),"Revisar","Pronta")))</f>
        <v/>
      </c>
    </row>
    <row r="56">
      <c r="A56" s="16" t="n"/>
      <c r="B56" s="24" t="n"/>
      <c r="C56" s="16" t="n"/>
      <c r="D56" s="16" t="n"/>
      <c r="E56" s="17" t="n"/>
      <c r="F56" s="18" t="n"/>
      <c r="G56" s="17" t="n"/>
      <c r="H56" s="20" t="n"/>
      <c r="I56" s="16" t="n"/>
      <c r="J56" s="17" t="n"/>
      <c r="K56" s="25" t="n"/>
      <c r="L56" s="26">
        <f>IF($C56="","",IFERROR(INDEX(Produtos!$B$4:$B$103,MATCH($C56,Produtos!$A$4:$A$103,0)),""))</f>
        <v/>
      </c>
      <c r="M56" s="26">
        <f>IF($C56="","",IFERROR(INDEX(Produtos!$C$4:$C$103,MATCH($C56,Produtos!$A$4:$A$103,0)),""))</f>
        <v/>
      </c>
      <c r="N56" s="19">
        <f>IF($C56="","",IFERROR(INDEX(Produtos!$D$4:$D$103,MATCH($C56,Produtos!$A$4:$A$103,0)),""))</f>
        <v/>
      </c>
      <c r="O56" s="27">
        <f>IF($C56="","",IFERROR(INDEX(Produtos!$E$4:$E$103,MATCH($C56,Produtos!$A$4:$A$103,0)),""))</f>
        <v/>
      </c>
      <c r="P56" s="19">
        <f>IF($C56="","",IFERROR(INDEX(Produtos!$G$4:$G$103,MATCH($C56,Produtos!$A$4:$A$103,0)),""))</f>
        <v/>
      </c>
      <c r="Q56" s="19">
        <f>IF($C56="","",IFERROR(INDEX(Produtos!$H$4:$H$103,MATCH($C56,Produtos!$A$4:$A$103,0)),""))</f>
        <v/>
      </c>
      <c r="R56" s="19">
        <f>IF($C56="","",IFERROR(INDEX(Produtos!$I$4:$I$103,MATCH($C56,Produtos!$A$4:$A$103,0)),""))</f>
        <v/>
      </c>
      <c r="S56" s="28">
        <f>IF($C56="","",IFERROR(INDEX(Produtos!$J$4:$J$103,MATCH($C56,Produtos!$A$4:$A$103,0)),""))</f>
        <v/>
      </c>
      <c r="T56" s="27">
        <f>IF($AG56&lt;&gt;"Pronta","",IFERROR(IF($F56&lt;=INDEX(Regras!$C$4:$C$103,MATCH($D56,Regras!$A$4:$A$103,0)),INDEX(Regras!$E$4:$E$103,MATCH($D56,Regras!$A$4:$A$103,0)),IF($F56&gt;=INDEX(Regras!$D$4:$D$103,MATCH($D56,Regras!$A$4:$A$103,0)),INDEX(Regras!$F$4:$F$103,MATCH($D56,Regras!$A$4:$A$103,0)),0)),""))</f>
        <v/>
      </c>
      <c r="U56" s="27">
        <f>IF($AG56&lt;&gt;"Pronta","",IFERROR(IF($G56="",0,IF($G56&lt;=$E56*(1-INDEX(Regras!$G$4:$G$103,MATCH($D56,Regras!$A$4:$A$103,0))),INDEX(Regras!$H$4:$H$103,MATCH($D56,Regras!$A$4:$A$103,0)),IF($G56&gt;=$E56*(1+INDEX(Regras!$G$4:$G$103,MATCH($D56,Regras!$A$4:$A$103,0))),INDEX(Regras!$I$4:$I$103,MATCH($D56,Regras!$A$4:$A$103,0)),0))),""))</f>
        <v/>
      </c>
      <c r="V56" s="27">
        <f>IF($AG56&lt;&gt;"Pronta","",IFERROR(IF($H56/$S56&lt;=INDEX(Regras!$J$4:$J$103,MATCH($D56,Regras!$A$4:$A$103,0)),INDEX(Regras!$L$4:$L$103,MATCH($D56,Regras!$A$4:$A$103,0)),IF($H56/$S56&gt;=INDEX(Regras!$K$4:$K$103,MATCH($D56,Regras!$A$4:$A$103,0)),INDEX(Regras!$M$4:$M$103,MATCH($D56,Regras!$A$4:$A$103,0)),0)),""))</f>
        <v/>
      </c>
      <c r="W56" s="27">
        <f>IF($AG56&lt;&gt;"Pronta","",SUM($T56:$V56))</f>
        <v/>
      </c>
      <c r="X56" s="27">
        <f>IF($AG56&lt;&gt;"Pronta","",IFERROR(MAX(-INDEX(Regras!$N$4:$N$103,MATCH($D56,Regras!$A$4:$A$103,0)),MIN(INDEX(Regras!$N$4:$N$103,MATCH($D56,Regras!$A$4:$A$103,0)),$W56)),""))</f>
        <v/>
      </c>
      <c r="Y56" s="19">
        <f>IF($AG56&lt;&gt;"Pronta","",IFERROR(ROUND($E56*(1+$X56),2),""))</f>
        <v/>
      </c>
      <c r="Z56" s="29">
        <f>IF(OR($AG56&lt;&gt;"Pronta",$Q56="",$R56=""),"",IFERROR(ROUND(MIN($R56,MAX($Q56,$Y56)),2),""))</f>
        <v/>
      </c>
      <c r="AA56" s="27">
        <f>IF(OR($E56="",$Z56=""),"",IFERROR($Z56/$E56-1,""))</f>
        <v/>
      </c>
      <c r="AB56" s="26">
        <f>IF($Z56="","",IF($Y56&lt;$Q56,"Piso",IF($Y56&gt;$R56,"Teto","Nenhuma")))</f>
        <v/>
      </c>
      <c r="AC56" s="21">
        <f>IF($A56="","",IF($AG56&lt;&gt;"Pronta","Aguardando dados válidos",_xlfn.TEXTJOIN(" | ",TRUE,IF($T56&gt;0,"Demanda: aumento",IF($T56&lt;0,"Demanda: redução","")),IF($U56&gt;0,"Concorrência: aumento",IF($U56&lt;0,"Concorrência: redução","")),IF($V56&gt;0,"Estoque: aumento",IF($V56&lt;0,"Estoque: redução","")),IF(ABS($W56-$X56)&gt;0.0000001,"Limite da rodada aplicado",""),IF($AB56="Piso","Piso vigente aplicado",IF($AB56="Teto","Teto aplicado","")),IF(AND($T56=0,$U56=0,$V56=0),"Sem gatilho de reajuste",""))))</f>
        <v/>
      </c>
      <c r="AD56" s="21">
        <f>IF(OR($A56="",$AG56&lt;&gt;"Pronta"),"",_xlfn.TEXTJOIN(" | ",TRUE,IF($E56&lt;$Q56,"Preço atual abaixo do piso",""),IF($E56&gt;$R56,"Preço atual acima do teto",""),IF(AND($N56&gt;0,$E56&gt;0,1-$N56/$E56&lt;$O56),"Margem estimada do preço atual abaixo do mínimo",""),IF($G56="","Preço concorrente não informado",""),IF($AB56="Piso","Recomendação travada no piso",""),IF($AB56="Teto","Recomendação travada no teto","")))</f>
        <v/>
      </c>
      <c r="AE56" s="19">
        <f>IF($AG56&lt;&gt;"Pronta","",IF($I56="Aprovar recomendação",$Z56,IF($I56="Manter preço atual",$E56,IF($I56="Definir manualmente",$J56,""))))</f>
        <v/>
      </c>
      <c r="AF56" s="21">
        <f>IF($A56="","",IF($AG56&lt;&gt;"Pronta","Aguardando correção",IF(OR($I56="",$I56="Pendente"),"Decisão pendente",IF(AND($I56="Definir manualmente",OR($J56="",$J56&lt;=0)),"Informe o preço manual",IF(OR($AE56&lt;$Q56,$AE56&gt;$R56),"Preço final fora do piso/teto","OK")))))</f>
        <v/>
      </c>
      <c r="AG56" s="26">
        <f>IF(COUNTA($A56:$K56)=0,"",IF(OR($A56="",$B56="",$C56="",$D56="",$E56="",$F56="",$H56=""),"Incompleta",IF(OR(COUNTIF($A$5:$A$204,$A56)&gt;1,NOT(ISNUMBER($B56)),COUNTIF(Produtos!$A$4:$A$103,$C56)&lt;&gt;1,IFERROR(INDEX(Produtos!$K$4:$K$103,MATCH($C56,Produtos!$A$4:$A$103,0))&lt;&gt;"Ativo",TRUE),IFERROR(INDEX(Produtos!$L$4:$L$103,MATCH($C56,Produtos!$A$4:$A$103,0))&lt;&gt;"OK",TRUE),COUNTIF(Regras!$A$4:$A$103,$D56)&lt;&gt;1,IFERROR(INDEX(Regras!$O$4:$O$103,MATCH($D56,Regras!$A$4:$A$103,0))&lt;&gt;"Sim",TRUE),IFERROR(INDEX(Regras!$P$4:$P$103,MATCH($D56,Regras!$A$4:$A$103,0))&lt;&gt;"OK",TRUE),NOT(ISNUMBER($E56)),$E56&lt;=0,NOT(ISNUMBER($F56)),$F56&lt;0,$F56&gt;5,NOT(ISNUMBER($H56)),$H56&lt;0,$H56&lt;&gt;INT($H56),AND($G56&lt;&gt;"",OR(NOT(ISNUMBER($G56)),$G56&lt;=0))),"Revisar","Pronta")))</f>
        <v/>
      </c>
    </row>
    <row r="57">
      <c r="A57" s="16" t="n"/>
      <c r="B57" s="24" t="n"/>
      <c r="C57" s="16" t="n"/>
      <c r="D57" s="16" t="n"/>
      <c r="E57" s="17" t="n"/>
      <c r="F57" s="18" t="n"/>
      <c r="G57" s="17" t="n"/>
      <c r="H57" s="20" t="n"/>
      <c r="I57" s="16" t="n"/>
      <c r="J57" s="17" t="n"/>
      <c r="K57" s="25" t="n"/>
      <c r="L57" s="26">
        <f>IF($C57="","",IFERROR(INDEX(Produtos!$B$4:$B$103,MATCH($C57,Produtos!$A$4:$A$103,0)),""))</f>
        <v/>
      </c>
      <c r="M57" s="26">
        <f>IF($C57="","",IFERROR(INDEX(Produtos!$C$4:$C$103,MATCH($C57,Produtos!$A$4:$A$103,0)),""))</f>
        <v/>
      </c>
      <c r="N57" s="19">
        <f>IF($C57="","",IFERROR(INDEX(Produtos!$D$4:$D$103,MATCH($C57,Produtos!$A$4:$A$103,0)),""))</f>
        <v/>
      </c>
      <c r="O57" s="27">
        <f>IF($C57="","",IFERROR(INDEX(Produtos!$E$4:$E$103,MATCH($C57,Produtos!$A$4:$A$103,0)),""))</f>
        <v/>
      </c>
      <c r="P57" s="19">
        <f>IF($C57="","",IFERROR(INDEX(Produtos!$G$4:$G$103,MATCH($C57,Produtos!$A$4:$A$103,0)),""))</f>
        <v/>
      </c>
      <c r="Q57" s="19">
        <f>IF($C57="","",IFERROR(INDEX(Produtos!$H$4:$H$103,MATCH($C57,Produtos!$A$4:$A$103,0)),""))</f>
        <v/>
      </c>
      <c r="R57" s="19">
        <f>IF($C57="","",IFERROR(INDEX(Produtos!$I$4:$I$103,MATCH($C57,Produtos!$A$4:$A$103,0)),""))</f>
        <v/>
      </c>
      <c r="S57" s="28">
        <f>IF($C57="","",IFERROR(INDEX(Produtos!$J$4:$J$103,MATCH($C57,Produtos!$A$4:$A$103,0)),""))</f>
        <v/>
      </c>
      <c r="T57" s="27">
        <f>IF($AG57&lt;&gt;"Pronta","",IFERROR(IF($F57&lt;=INDEX(Regras!$C$4:$C$103,MATCH($D57,Regras!$A$4:$A$103,0)),INDEX(Regras!$E$4:$E$103,MATCH($D57,Regras!$A$4:$A$103,0)),IF($F57&gt;=INDEX(Regras!$D$4:$D$103,MATCH($D57,Regras!$A$4:$A$103,0)),INDEX(Regras!$F$4:$F$103,MATCH($D57,Regras!$A$4:$A$103,0)),0)),""))</f>
        <v/>
      </c>
      <c r="U57" s="27">
        <f>IF($AG57&lt;&gt;"Pronta","",IFERROR(IF($G57="",0,IF($G57&lt;=$E57*(1-INDEX(Regras!$G$4:$G$103,MATCH($D57,Regras!$A$4:$A$103,0))),INDEX(Regras!$H$4:$H$103,MATCH($D57,Regras!$A$4:$A$103,0)),IF($G57&gt;=$E57*(1+INDEX(Regras!$G$4:$G$103,MATCH($D57,Regras!$A$4:$A$103,0))),INDEX(Regras!$I$4:$I$103,MATCH($D57,Regras!$A$4:$A$103,0)),0))),""))</f>
        <v/>
      </c>
      <c r="V57" s="27">
        <f>IF($AG57&lt;&gt;"Pronta","",IFERROR(IF($H57/$S57&lt;=INDEX(Regras!$J$4:$J$103,MATCH($D57,Regras!$A$4:$A$103,0)),INDEX(Regras!$L$4:$L$103,MATCH($D57,Regras!$A$4:$A$103,0)),IF($H57/$S57&gt;=INDEX(Regras!$K$4:$K$103,MATCH($D57,Regras!$A$4:$A$103,0)),INDEX(Regras!$M$4:$M$103,MATCH($D57,Regras!$A$4:$A$103,0)),0)),""))</f>
        <v/>
      </c>
      <c r="W57" s="27">
        <f>IF($AG57&lt;&gt;"Pronta","",SUM($T57:$V57))</f>
        <v/>
      </c>
      <c r="X57" s="27">
        <f>IF($AG57&lt;&gt;"Pronta","",IFERROR(MAX(-INDEX(Regras!$N$4:$N$103,MATCH($D57,Regras!$A$4:$A$103,0)),MIN(INDEX(Regras!$N$4:$N$103,MATCH($D57,Regras!$A$4:$A$103,0)),$W57)),""))</f>
        <v/>
      </c>
      <c r="Y57" s="19">
        <f>IF($AG57&lt;&gt;"Pronta","",IFERROR(ROUND($E57*(1+$X57),2),""))</f>
        <v/>
      </c>
      <c r="Z57" s="29">
        <f>IF(OR($AG57&lt;&gt;"Pronta",$Q57="",$R57=""),"",IFERROR(ROUND(MIN($R57,MAX($Q57,$Y57)),2),""))</f>
        <v/>
      </c>
      <c r="AA57" s="27">
        <f>IF(OR($E57="",$Z57=""),"",IFERROR($Z57/$E57-1,""))</f>
        <v/>
      </c>
      <c r="AB57" s="26">
        <f>IF($Z57="","",IF($Y57&lt;$Q57,"Piso",IF($Y57&gt;$R57,"Teto","Nenhuma")))</f>
        <v/>
      </c>
      <c r="AC57" s="21">
        <f>IF($A57="","",IF($AG57&lt;&gt;"Pronta","Aguardando dados válidos",_xlfn.TEXTJOIN(" | ",TRUE,IF($T57&gt;0,"Demanda: aumento",IF($T57&lt;0,"Demanda: redução","")),IF($U57&gt;0,"Concorrência: aumento",IF($U57&lt;0,"Concorrência: redução","")),IF($V57&gt;0,"Estoque: aumento",IF($V57&lt;0,"Estoque: redução","")),IF(ABS($W57-$X57)&gt;0.0000001,"Limite da rodada aplicado",""),IF($AB57="Piso","Piso vigente aplicado",IF($AB57="Teto","Teto aplicado","")),IF(AND($T57=0,$U57=0,$V57=0),"Sem gatilho de reajuste",""))))</f>
        <v/>
      </c>
      <c r="AD57" s="21">
        <f>IF(OR($A57="",$AG57&lt;&gt;"Pronta"),"",_xlfn.TEXTJOIN(" | ",TRUE,IF($E57&lt;$Q57,"Preço atual abaixo do piso",""),IF($E57&gt;$R57,"Preço atual acima do teto",""),IF(AND($N57&gt;0,$E57&gt;0,1-$N57/$E57&lt;$O57),"Margem estimada do preço atual abaixo do mínimo",""),IF($G57="","Preço concorrente não informado",""),IF($AB57="Piso","Recomendação travada no piso",""),IF($AB57="Teto","Recomendação travada no teto","")))</f>
        <v/>
      </c>
      <c r="AE57" s="19">
        <f>IF($AG57&lt;&gt;"Pronta","",IF($I57="Aprovar recomendação",$Z57,IF($I57="Manter preço atual",$E57,IF($I57="Definir manualmente",$J57,""))))</f>
        <v/>
      </c>
      <c r="AF57" s="21">
        <f>IF($A57="","",IF($AG57&lt;&gt;"Pronta","Aguardando correção",IF(OR($I57="",$I57="Pendente"),"Decisão pendente",IF(AND($I57="Definir manualmente",OR($J57="",$J57&lt;=0)),"Informe o preço manual",IF(OR($AE57&lt;$Q57,$AE57&gt;$R57),"Preço final fora do piso/teto","OK")))))</f>
        <v/>
      </c>
      <c r="AG57" s="26">
        <f>IF(COUNTA($A57:$K57)=0,"",IF(OR($A57="",$B57="",$C57="",$D57="",$E57="",$F57="",$H57=""),"Incompleta",IF(OR(COUNTIF($A$5:$A$204,$A57)&gt;1,NOT(ISNUMBER($B57)),COUNTIF(Produtos!$A$4:$A$103,$C57)&lt;&gt;1,IFERROR(INDEX(Produtos!$K$4:$K$103,MATCH($C57,Produtos!$A$4:$A$103,0))&lt;&gt;"Ativo",TRUE),IFERROR(INDEX(Produtos!$L$4:$L$103,MATCH($C57,Produtos!$A$4:$A$103,0))&lt;&gt;"OK",TRUE),COUNTIF(Regras!$A$4:$A$103,$D57)&lt;&gt;1,IFERROR(INDEX(Regras!$O$4:$O$103,MATCH($D57,Regras!$A$4:$A$103,0))&lt;&gt;"Sim",TRUE),IFERROR(INDEX(Regras!$P$4:$P$103,MATCH($D57,Regras!$A$4:$A$103,0))&lt;&gt;"OK",TRUE),NOT(ISNUMBER($E57)),$E57&lt;=0,NOT(ISNUMBER($F57)),$F57&lt;0,$F57&gt;5,NOT(ISNUMBER($H57)),$H57&lt;0,$H57&lt;&gt;INT($H57),AND($G57&lt;&gt;"",OR(NOT(ISNUMBER($G57)),$G57&lt;=0))),"Revisar","Pronta")))</f>
        <v/>
      </c>
    </row>
    <row r="58">
      <c r="A58" s="16" t="n"/>
      <c r="B58" s="24" t="n"/>
      <c r="C58" s="16" t="n"/>
      <c r="D58" s="16" t="n"/>
      <c r="E58" s="17" t="n"/>
      <c r="F58" s="18" t="n"/>
      <c r="G58" s="17" t="n"/>
      <c r="H58" s="20" t="n"/>
      <c r="I58" s="16" t="n"/>
      <c r="J58" s="17" t="n"/>
      <c r="K58" s="25" t="n"/>
      <c r="L58" s="26">
        <f>IF($C58="","",IFERROR(INDEX(Produtos!$B$4:$B$103,MATCH($C58,Produtos!$A$4:$A$103,0)),""))</f>
        <v/>
      </c>
      <c r="M58" s="26">
        <f>IF($C58="","",IFERROR(INDEX(Produtos!$C$4:$C$103,MATCH($C58,Produtos!$A$4:$A$103,0)),""))</f>
        <v/>
      </c>
      <c r="N58" s="19">
        <f>IF($C58="","",IFERROR(INDEX(Produtos!$D$4:$D$103,MATCH($C58,Produtos!$A$4:$A$103,0)),""))</f>
        <v/>
      </c>
      <c r="O58" s="27">
        <f>IF($C58="","",IFERROR(INDEX(Produtos!$E$4:$E$103,MATCH($C58,Produtos!$A$4:$A$103,0)),""))</f>
        <v/>
      </c>
      <c r="P58" s="19">
        <f>IF($C58="","",IFERROR(INDEX(Produtos!$G$4:$G$103,MATCH($C58,Produtos!$A$4:$A$103,0)),""))</f>
        <v/>
      </c>
      <c r="Q58" s="19">
        <f>IF($C58="","",IFERROR(INDEX(Produtos!$H$4:$H$103,MATCH($C58,Produtos!$A$4:$A$103,0)),""))</f>
        <v/>
      </c>
      <c r="R58" s="19">
        <f>IF($C58="","",IFERROR(INDEX(Produtos!$I$4:$I$103,MATCH($C58,Produtos!$A$4:$A$103,0)),""))</f>
        <v/>
      </c>
      <c r="S58" s="28">
        <f>IF($C58="","",IFERROR(INDEX(Produtos!$J$4:$J$103,MATCH($C58,Produtos!$A$4:$A$103,0)),""))</f>
        <v/>
      </c>
      <c r="T58" s="27">
        <f>IF($AG58&lt;&gt;"Pronta","",IFERROR(IF($F58&lt;=INDEX(Regras!$C$4:$C$103,MATCH($D58,Regras!$A$4:$A$103,0)),INDEX(Regras!$E$4:$E$103,MATCH($D58,Regras!$A$4:$A$103,0)),IF($F58&gt;=INDEX(Regras!$D$4:$D$103,MATCH($D58,Regras!$A$4:$A$103,0)),INDEX(Regras!$F$4:$F$103,MATCH($D58,Regras!$A$4:$A$103,0)),0)),""))</f>
        <v/>
      </c>
      <c r="U58" s="27">
        <f>IF($AG58&lt;&gt;"Pronta","",IFERROR(IF($G58="",0,IF($G58&lt;=$E58*(1-INDEX(Regras!$G$4:$G$103,MATCH($D58,Regras!$A$4:$A$103,0))),INDEX(Regras!$H$4:$H$103,MATCH($D58,Regras!$A$4:$A$103,0)),IF($G58&gt;=$E58*(1+INDEX(Regras!$G$4:$G$103,MATCH($D58,Regras!$A$4:$A$103,0))),INDEX(Regras!$I$4:$I$103,MATCH($D58,Regras!$A$4:$A$103,0)),0))),""))</f>
        <v/>
      </c>
      <c r="V58" s="27">
        <f>IF($AG58&lt;&gt;"Pronta","",IFERROR(IF($H58/$S58&lt;=INDEX(Regras!$J$4:$J$103,MATCH($D58,Regras!$A$4:$A$103,0)),INDEX(Regras!$L$4:$L$103,MATCH($D58,Regras!$A$4:$A$103,0)),IF($H58/$S58&gt;=INDEX(Regras!$K$4:$K$103,MATCH($D58,Regras!$A$4:$A$103,0)),INDEX(Regras!$M$4:$M$103,MATCH($D58,Regras!$A$4:$A$103,0)),0)),""))</f>
        <v/>
      </c>
      <c r="W58" s="27">
        <f>IF($AG58&lt;&gt;"Pronta","",SUM($T58:$V58))</f>
        <v/>
      </c>
      <c r="X58" s="27">
        <f>IF($AG58&lt;&gt;"Pronta","",IFERROR(MAX(-INDEX(Regras!$N$4:$N$103,MATCH($D58,Regras!$A$4:$A$103,0)),MIN(INDEX(Regras!$N$4:$N$103,MATCH($D58,Regras!$A$4:$A$103,0)),$W58)),""))</f>
        <v/>
      </c>
      <c r="Y58" s="19">
        <f>IF($AG58&lt;&gt;"Pronta","",IFERROR(ROUND($E58*(1+$X58),2),""))</f>
        <v/>
      </c>
      <c r="Z58" s="29">
        <f>IF(OR($AG58&lt;&gt;"Pronta",$Q58="",$R58=""),"",IFERROR(ROUND(MIN($R58,MAX($Q58,$Y58)),2),""))</f>
        <v/>
      </c>
      <c r="AA58" s="27">
        <f>IF(OR($E58="",$Z58=""),"",IFERROR($Z58/$E58-1,""))</f>
        <v/>
      </c>
      <c r="AB58" s="26">
        <f>IF($Z58="","",IF($Y58&lt;$Q58,"Piso",IF($Y58&gt;$R58,"Teto","Nenhuma")))</f>
        <v/>
      </c>
      <c r="AC58" s="21">
        <f>IF($A58="","",IF($AG58&lt;&gt;"Pronta","Aguardando dados válidos",_xlfn.TEXTJOIN(" | ",TRUE,IF($T58&gt;0,"Demanda: aumento",IF($T58&lt;0,"Demanda: redução","")),IF($U58&gt;0,"Concorrência: aumento",IF($U58&lt;0,"Concorrência: redução","")),IF($V58&gt;0,"Estoque: aumento",IF($V58&lt;0,"Estoque: redução","")),IF(ABS($W58-$X58)&gt;0.0000001,"Limite da rodada aplicado",""),IF($AB58="Piso","Piso vigente aplicado",IF($AB58="Teto","Teto aplicado","")),IF(AND($T58=0,$U58=0,$V58=0),"Sem gatilho de reajuste",""))))</f>
        <v/>
      </c>
      <c r="AD58" s="21">
        <f>IF(OR($A58="",$AG58&lt;&gt;"Pronta"),"",_xlfn.TEXTJOIN(" | ",TRUE,IF($E58&lt;$Q58,"Preço atual abaixo do piso",""),IF($E58&gt;$R58,"Preço atual acima do teto",""),IF(AND($N58&gt;0,$E58&gt;0,1-$N58/$E58&lt;$O58),"Margem estimada do preço atual abaixo do mínimo",""),IF($G58="","Preço concorrente não informado",""),IF($AB58="Piso","Recomendação travada no piso",""),IF($AB58="Teto","Recomendação travada no teto","")))</f>
        <v/>
      </c>
      <c r="AE58" s="19">
        <f>IF($AG58&lt;&gt;"Pronta","",IF($I58="Aprovar recomendação",$Z58,IF($I58="Manter preço atual",$E58,IF($I58="Definir manualmente",$J58,""))))</f>
        <v/>
      </c>
      <c r="AF58" s="21">
        <f>IF($A58="","",IF($AG58&lt;&gt;"Pronta","Aguardando correção",IF(OR($I58="",$I58="Pendente"),"Decisão pendente",IF(AND($I58="Definir manualmente",OR($J58="",$J58&lt;=0)),"Informe o preço manual",IF(OR($AE58&lt;$Q58,$AE58&gt;$R58),"Preço final fora do piso/teto","OK")))))</f>
        <v/>
      </c>
      <c r="AG58" s="26">
        <f>IF(COUNTA($A58:$K58)=0,"",IF(OR($A58="",$B58="",$C58="",$D58="",$E58="",$F58="",$H58=""),"Incompleta",IF(OR(COUNTIF($A$5:$A$204,$A58)&gt;1,NOT(ISNUMBER($B58)),COUNTIF(Produtos!$A$4:$A$103,$C58)&lt;&gt;1,IFERROR(INDEX(Produtos!$K$4:$K$103,MATCH($C58,Produtos!$A$4:$A$103,0))&lt;&gt;"Ativo",TRUE),IFERROR(INDEX(Produtos!$L$4:$L$103,MATCH($C58,Produtos!$A$4:$A$103,0))&lt;&gt;"OK",TRUE),COUNTIF(Regras!$A$4:$A$103,$D58)&lt;&gt;1,IFERROR(INDEX(Regras!$O$4:$O$103,MATCH($D58,Regras!$A$4:$A$103,0))&lt;&gt;"Sim",TRUE),IFERROR(INDEX(Regras!$P$4:$P$103,MATCH($D58,Regras!$A$4:$A$103,0))&lt;&gt;"OK",TRUE),NOT(ISNUMBER($E58)),$E58&lt;=0,NOT(ISNUMBER($F58)),$F58&lt;0,$F58&gt;5,NOT(ISNUMBER($H58)),$H58&lt;0,$H58&lt;&gt;INT($H58),AND($G58&lt;&gt;"",OR(NOT(ISNUMBER($G58)),$G58&lt;=0))),"Revisar","Pronta")))</f>
        <v/>
      </c>
    </row>
    <row r="59">
      <c r="A59" s="16" t="n"/>
      <c r="B59" s="24" t="n"/>
      <c r="C59" s="16" t="n"/>
      <c r="D59" s="16" t="n"/>
      <c r="E59" s="17" t="n"/>
      <c r="F59" s="18" t="n"/>
      <c r="G59" s="17" t="n"/>
      <c r="H59" s="20" t="n"/>
      <c r="I59" s="16" t="n"/>
      <c r="J59" s="17" t="n"/>
      <c r="K59" s="25" t="n"/>
      <c r="L59" s="26">
        <f>IF($C59="","",IFERROR(INDEX(Produtos!$B$4:$B$103,MATCH($C59,Produtos!$A$4:$A$103,0)),""))</f>
        <v/>
      </c>
      <c r="M59" s="26">
        <f>IF($C59="","",IFERROR(INDEX(Produtos!$C$4:$C$103,MATCH($C59,Produtos!$A$4:$A$103,0)),""))</f>
        <v/>
      </c>
      <c r="N59" s="19">
        <f>IF($C59="","",IFERROR(INDEX(Produtos!$D$4:$D$103,MATCH($C59,Produtos!$A$4:$A$103,0)),""))</f>
        <v/>
      </c>
      <c r="O59" s="27">
        <f>IF($C59="","",IFERROR(INDEX(Produtos!$E$4:$E$103,MATCH($C59,Produtos!$A$4:$A$103,0)),""))</f>
        <v/>
      </c>
      <c r="P59" s="19">
        <f>IF($C59="","",IFERROR(INDEX(Produtos!$G$4:$G$103,MATCH($C59,Produtos!$A$4:$A$103,0)),""))</f>
        <v/>
      </c>
      <c r="Q59" s="19">
        <f>IF($C59="","",IFERROR(INDEX(Produtos!$H$4:$H$103,MATCH($C59,Produtos!$A$4:$A$103,0)),""))</f>
        <v/>
      </c>
      <c r="R59" s="19">
        <f>IF($C59="","",IFERROR(INDEX(Produtos!$I$4:$I$103,MATCH($C59,Produtos!$A$4:$A$103,0)),""))</f>
        <v/>
      </c>
      <c r="S59" s="28">
        <f>IF($C59="","",IFERROR(INDEX(Produtos!$J$4:$J$103,MATCH($C59,Produtos!$A$4:$A$103,0)),""))</f>
        <v/>
      </c>
      <c r="T59" s="27">
        <f>IF($AG59&lt;&gt;"Pronta","",IFERROR(IF($F59&lt;=INDEX(Regras!$C$4:$C$103,MATCH($D59,Regras!$A$4:$A$103,0)),INDEX(Regras!$E$4:$E$103,MATCH($D59,Regras!$A$4:$A$103,0)),IF($F59&gt;=INDEX(Regras!$D$4:$D$103,MATCH($D59,Regras!$A$4:$A$103,0)),INDEX(Regras!$F$4:$F$103,MATCH($D59,Regras!$A$4:$A$103,0)),0)),""))</f>
        <v/>
      </c>
      <c r="U59" s="27">
        <f>IF($AG59&lt;&gt;"Pronta","",IFERROR(IF($G59="",0,IF($G59&lt;=$E59*(1-INDEX(Regras!$G$4:$G$103,MATCH($D59,Regras!$A$4:$A$103,0))),INDEX(Regras!$H$4:$H$103,MATCH($D59,Regras!$A$4:$A$103,0)),IF($G59&gt;=$E59*(1+INDEX(Regras!$G$4:$G$103,MATCH($D59,Regras!$A$4:$A$103,0))),INDEX(Regras!$I$4:$I$103,MATCH($D59,Regras!$A$4:$A$103,0)),0))),""))</f>
        <v/>
      </c>
      <c r="V59" s="27">
        <f>IF($AG59&lt;&gt;"Pronta","",IFERROR(IF($H59/$S59&lt;=INDEX(Regras!$J$4:$J$103,MATCH($D59,Regras!$A$4:$A$103,0)),INDEX(Regras!$L$4:$L$103,MATCH($D59,Regras!$A$4:$A$103,0)),IF($H59/$S59&gt;=INDEX(Regras!$K$4:$K$103,MATCH($D59,Regras!$A$4:$A$103,0)),INDEX(Regras!$M$4:$M$103,MATCH($D59,Regras!$A$4:$A$103,0)),0)),""))</f>
        <v/>
      </c>
      <c r="W59" s="27">
        <f>IF($AG59&lt;&gt;"Pronta","",SUM($T59:$V59))</f>
        <v/>
      </c>
      <c r="X59" s="27">
        <f>IF($AG59&lt;&gt;"Pronta","",IFERROR(MAX(-INDEX(Regras!$N$4:$N$103,MATCH($D59,Regras!$A$4:$A$103,0)),MIN(INDEX(Regras!$N$4:$N$103,MATCH($D59,Regras!$A$4:$A$103,0)),$W59)),""))</f>
        <v/>
      </c>
      <c r="Y59" s="19">
        <f>IF($AG59&lt;&gt;"Pronta","",IFERROR(ROUND($E59*(1+$X59),2),""))</f>
        <v/>
      </c>
      <c r="Z59" s="29">
        <f>IF(OR($AG59&lt;&gt;"Pronta",$Q59="",$R59=""),"",IFERROR(ROUND(MIN($R59,MAX($Q59,$Y59)),2),""))</f>
        <v/>
      </c>
      <c r="AA59" s="27">
        <f>IF(OR($E59="",$Z59=""),"",IFERROR($Z59/$E59-1,""))</f>
        <v/>
      </c>
      <c r="AB59" s="26">
        <f>IF($Z59="","",IF($Y59&lt;$Q59,"Piso",IF($Y59&gt;$R59,"Teto","Nenhuma")))</f>
        <v/>
      </c>
      <c r="AC59" s="21">
        <f>IF($A59="","",IF($AG59&lt;&gt;"Pronta","Aguardando dados válidos",_xlfn.TEXTJOIN(" | ",TRUE,IF($T59&gt;0,"Demanda: aumento",IF($T59&lt;0,"Demanda: redução","")),IF($U59&gt;0,"Concorrência: aumento",IF($U59&lt;0,"Concorrência: redução","")),IF($V59&gt;0,"Estoque: aumento",IF($V59&lt;0,"Estoque: redução","")),IF(ABS($W59-$X59)&gt;0.0000001,"Limite da rodada aplicado",""),IF($AB59="Piso","Piso vigente aplicado",IF($AB59="Teto","Teto aplicado","")),IF(AND($T59=0,$U59=0,$V59=0),"Sem gatilho de reajuste",""))))</f>
        <v/>
      </c>
      <c r="AD59" s="21">
        <f>IF(OR($A59="",$AG59&lt;&gt;"Pronta"),"",_xlfn.TEXTJOIN(" | ",TRUE,IF($E59&lt;$Q59,"Preço atual abaixo do piso",""),IF($E59&gt;$R59,"Preço atual acima do teto",""),IF(AND($N59&gt;0,$E59&gt;0,1-$N59/$E59&lt;$O59),"Margem estimada do preço atual abaixo do mínimo",""),IF($G59="","Preço concorrente não informado",""),IF($AB59="Piso","Recomendação travada no piso",""),IF($AB59="Teto","Recomendação travada no teto","")))</f>
        <v/>
      </c>
      <c r="AE59" s="19">
        <f>IF($AG59&lt;&gt;"Pronta","",IF($I59="Aprovar recomendação",$Z59,IF($I59="Manter preço atual",$E59,IF($I59="Definir manualmente",$J59,""))))</f>
        <v/>
      </c>
      <c r="AF59" s="21">
        <f>IF($A59="","",IF($AG59&lt;&gt;"Pronta","Aguardando correção",IF(OR($I59="",$I59="Pendente"),"Decisão pendente",IF(AND($I59="Definir manualmente",OR($J59="",$J59&lt;=0)),"Informe o preço manual",IF(OR($AE59&lt;$Q59,$AE59&gt;$R59),"Preço final fora do piso/teto","OK")))))</f>
        <v/>
      </c>
      <c r="AG59" s="26">
        <f>IF(COUNTA($A59:$K59)=0,"",IF(OR($A59="",$B59="",$C59="",$D59="",$E59="",$F59="",$H59=""),"Incompleta",IF(OR(COUNTIF($A$5:$A$204,$A59)&gt;1,NOT(ISNUMBER($B59)),COUNTIF(Produtos!$A$4:$A$103,$C59)&lt;&gt;1,IFERROR(INDEX(Produtos!$K$4:$K$103,MATCH($C59,Produtos!$A$4:$A$103,0))&lt;&gt;"Ativo",TRUE),IFERROR(INDEX(Produtos!$L$4:$L$103,MATCH($C59,Produtos!$A$4:$A$103,0))&lt;&gt;"OK",TRUE),COUNTIF(Regras!$A$4:$A$103,$D59)&lt;&gt;1,IFERROR(INDEX(Regras!$O$4:$O$103,MATCH($D59,Regras!$A$4:$A$103,0))&lt;&gt;"Sim",TRUE),IFERROR(INDEX(Regras!$P$4:$P$103,MATCH($D59,Regras!$A$4:$A$103,0))&lt;&gt;"OK",TRUE),NOT(ISNUMBER($E59)),$E59&lt;=0,NOT(ISNUMBER($F59)),$F59&lt;0,$F59&gt;5,NOT(ISNUMBER($H59)),$H59&lt;0,$H59&lt;&gt;INT($H59),AND($G59&lt;&gt;"",OR(NOT(ISNUMBER($G59)),$G59&lt;=0))),"Revisar","Pronta")))</f>
        <v/>
      </c>
    </row>
    <row r="60">
      <c r="A60" s="16" t="n"/>
      <c r="B60" s="24" t="n"/>
      <c r="C60" s="16" t="n"/>
      <c r="D60" s="16" t="n"/>
      <c r="E60" s="17" t="n"/>
      <c r="F60" s="18" t="n"/>
      <c r="G60" s="17" t="n"/>
      <c r="H60" s="20" t="n"/>
      <c r="I60" s="16" t="n"/>
      <c r="J60" s="17" t="n"/>
      <c r="K60" s="25" t="n"/>
      <c r="L60" s="26">
        <f>IF($C60="","",IFERROR(INDEX(Produtos!$B$4:$B$103,MATCH($C60,Produtos!$A$4:$A$103,0)),""))</f>
        <v/>
      </c>
      <c r="M60" s="26">
        <f>IF($C60="","",IFERROR(INDEX(Produtos!$C$4:$C$103,MATCH($C60,Produtos!$A$4:$A$103,0)),""))</f>
        <v/>
      </c>
      <c r="N60" s="19">
        <f>IF($C60="","",IFERROR(INDEX(Produtos!$D$4:$D$103,MATCH($C60,Produtos!$A$4:$A$103,0)),""))</f>
        <v/>
      </c>
      <c r="O60" s="27">
        <f>IF($C60="","",IFERROR(INDEX(Produtos!$E$4:$E$103,MATCH($C60,Produtos!$A$4:$A$103,0)),""))</f>
        <v/>
      </c>
      <c r="P60" s="19">
        <f>IF($C60="","",IFERROR(INDEX(Produtos!$G$4:$G$103,MATCH($C60,Produtos!$A$4:$A$103,0)),""))</f>
        <v/>
      </c>
      <c r="Q60" s="19">
        <f>IF($C60="","",IFERROR(INDEX(Produtos!$H$4:$H$103,MATCH($C60,Produtos!$A$4:$A$103,0)),""))</f>
        <v/>
      </c>
      <c r="R60" s="19">
        <f>IF($C60="","",IFERROR(INDEX(Produtos!$I$4:$I$103,MATCH($C60,Produtos!$A$4:$A$103,0)),""))</f>
        <v/>
      </c>
      <c r="S60" s="28">
        <f>IF($C60="","",IFERROR(INDEX(Produtos!$J$4:$J$103,MATCH($C60,Produtos!$A$4:$A$103,0)),""))</f>
        <v/>
      </c>
      <c r="T60" s="27">
        <f>IF($AG60&lt;&gt;"Pronta","",IFERROR(IF($F60&lt;=INDEX(Regras!$C$4:$C$103,MATCH($D60,Regras!$A$4:$A$103,0)),INDEX(Regras!$E$4:$E$103,MATCH($D60,Regras!$A$4:$A$103,0)),IF($F60&gt;=INDEX(Regras!$D$4:$D$103,MATCH($D60,Regras!$A$4:$A$103,0)),INDEX(Regras!$F$4:$F$103,MATCH($D60,Regras!$A$4:$A$103,0)),0)),""))</f>
        <v/>
      </c>
      <c r="U60" s="27">
        <f>IF($AG60&lt;&gt;"Pronta","",IFERROR(IF($G60="",0,IF($G60&lt;=$E60*(1-INDEX(Regras!$G$4:$G$103,MATCH($D60,Regras!$A$4:$A$103,0))),INDEX(Regras!$H$4:$H$103,MATCH($D60,Regras!$A$4:$A$103,0)),IF($G60&gt;=$E60*(1+INDEX(Regras!$G$4:$G$103,MATCH($D60,Regras!$A$4:$A$103,0))),INDEX(Regras!$I$4:$I$103,MATCH($D60,Regras!$A$4:$A$103,0)),0))),""))</f>
        <v/>
      </c>
      <c r="V60" s="27">
        <f>IF($AG60&lt;&gt;"Pronta","",IFERROR(IF($H60/$S60&lt;=INDEX(Regras!$J$4:$J$103,MATCH($D60,Regras!$A$4:$A$103,0)),INDEX(Regras!$L$4:$L$103,MATCH($D60,Regras!$A$4:$A$103,0)),IF($H60/$S60&gt;=INDEX(Regras!$K$4:$K$103,MATCH($D60,Regras!$A$4:$A$103,0)),INDEX(Regras!$M$4:$M$103,MATCH($D60,Regras!$A$4:$A$103,0)),0)),""))</f>
        <v/>
      </c>
      <c r="W60" s="27">
        <f>IF($AG60&lt;&gt;"Pronta","",SUM($T60:$V60))</f>
        <v/>
      </c>
      <c r="X60" s="27">
        <f>IF($AG60&lt;&gt;"Pronta","",IFERROR(MAX(-INDEX(Regras!$N$4:$N$103,MATCH($D60,Regras!$A$4:$A$103,0)),MIN(INDEX(Regras!$N$4:$N$103,MATCH($D60,Regras!$A$4:$A$103,0)),$W60)),""))</f>
        <v/>
      </c>
      <c r="Y60" s="19">
        <f>IF($AG60&lt;&gt;"Pronta","",IFERROR(ROUND($E60*(1+$X60),2),""))</f>
        <v/>
      </c>
      <c r="Z60" s="29">
        <f>IF(OR($AG60&lt;&gt;"Pronta",$Q60="",$R60=""),"",IFERROR(ROUND(MIN($R60,MAX($Q60,$Y60)),2),""))</f>
        <v/>
      </c>
      <c r="AA60" s="27">
        <f>IF(OR($E60="",$Z60=""),"",IFERROR($Z60/$E60-1,""))</f>
        <v/>
      </c>
      <c r="AB60" s="26">
        <f>IF($Z60="","",IF($Y60&lt;$Q60,"Piso",IF($Y60&gt;$R60,"Teto","Nenhuma")))</f>
        <v/>
      </c>
      <c r="AC60" s="21">
        <f>IF($A60="","",IF($AG60&lt;&gt;"Pronta","Aguardando dados válidos",_xlfn.TEXTJOIN(" | ",TRUE,IF($T60&gt;0,"Demanda: aumento",IF($T60&lt;0,"Demanda: redução","")),IF($U60&gt;0,"Concorrência: aumento",IF($U60&lt;0,"Concorrência: redução","")),IF($V60&gt;0,"Estoque: aumento",IF($V60&lt;0,"Estoque: redução","")),IF(ABS($W60-$X60)&gt;0.0000001,"Limite da rodada aplicado",""),IF($AB60="Piso","Piso vigente aplicado",IF($AB60="Teto","Teto aplicado","")),IF(AND($T60=0,$U60=0,$V60=0),"Sem gatilho de reajuste",""))))</f>
        <v/>
      </c>
      <c r="AD60" s="21">
        <f>IF(OR($A60="",$AG60&lt;&gt;"Pronta"),"",_xlfn.TEXTJOIN(" | ",TRUE,IF($E60&lt;$Q60,"Preço atual abaixo do piso",""),IF($E60&gt;$R60,"Preço atual acima do teto",""),IF(AND($N60&gt;0,$E60&gt;0,1-$N60/$E60&lt;$O60),"Margem estimada do preço atual abaixo do mínimo",""),IF($G60="","Preço concorrente não informado",""),IF($AB60="Piso","Recomendação travada no piso",""),IF($AB60="Teto","Recomendação travada no teto","")))</f>
        <v/>
      </c>
      <c r="AE60" s="19">
        <f>IF($AG60&lt;&gt;"Pronta","",IF($I60="Aprovar recomendação",$Z60,IF($I60="Manter preço atual",$E60,IF($I60="Definir manualmente",$J60,""))))</f>
        <v/>
      </c>
      <c r="AF60" s="21">
        <f>IF($A60="","",IF($AG60&lt;&gt;"Pronta","Aguardando correção",IF(OR($I60="",$I60="Pendente"),"Decisão pendente",IF(AND($I60="Definir manualmente",OR($J60="",$J60&lt;=0)),"Informe o preço manual",IF(OR($AE60&lt;$Q60,$AE60&gt;$R60),"Preço final fora do piso/teto","OK")))))</f>
        <v/>
      </c>
      <c r="AG60" s="26">
        <f>IF(COUNTA($A60:$K60)=0,"",IF(OR($A60="",$B60="",$C60="",$D60="",$E60="",$F60="",$H60=""),"Incompleta",IF(OR(COUNTIF($A$5:$A$204,$A60)&gt;1,NOT(ISNUMBER($B60)),COUNTIF(Produtos!$A$4:$A$103,$C60)&lt;&gt;1,IFERROR(INDEX(Produtos!$K$4:$K$103,MATCH($C60,Produtos!$A$4:$A$103,0))&lt;&gt;"Ativo",TRUE),IFERROR(INDEX(Produtos!$L$4:$L$103,MATCH($C60,Produtos!$A$4:$A$103,0))&lt;&gt;"OK",TRUE),COUNTIF(Regras!$A$4:$A$103,$D60)&lt;&gt;1,IFERROR(INDEX(Regras!$O$4:$O$103,MATCH($D60,Regras!$A$4:$A$103,0))&lt;&gt;"Sim",TRUE),IFERROR(INDEX(Regras!$P$4:$P$103,MATCH($D60,Regras!$A$4:$A$103,0))&lt;&gt;"OK",TRUE),NOT(ISNUMBER($E60)),$E60&lt;=0,NOT(ISNUMBER($F60)),$F60&lt;0,$F60&gt;5,NOT(ISNUMBER($H60)),$H60&lt;0,$H60&lt;&gt;INT($H60),AND($G60&lt;&gt;"",OR(NOT(ISNUMBER($G60)),$G60&lt;=0))),"Revisar","Pronta")))</f>
        <v/>
      </c>
    </row>
    <row r="61">
      <c r="A61" s="16" t="n"/>
      <c r="B61" s="24" t="n"/>
      <c r="C61" s="16" t="n"/>
      <c r="D61" s="16" t="n"/>
      <c r="E61" s="17" t="n"/>
      <c r="F61" s="18" t="n"/>
      <c r="G61" s="17" t="n"/>
      <c r="H61" s="20" t="n"/>
      <c r="I61" s="16" t="n"/>
      <c r="J61" s="17" t="n"/>
      <c r="K61" s="25" t="n"/>
      <c r="L61" s="26">
        <f>IF($C61="","",IFERROR(INDEX(Produtos!$B$4:$B$103,MATCH($C61,Produtos!$A$4:$A$103,0)),""))</f>
        <v/>
      </c>
      <c r="M61" s="26">
        <f>IF($C61="","",IFERROR(INDEX(Produtos!$C$4:$C$103,MATCH($C61,Produtos!$A$4:$A$103,0)),""))</f>
        <v/>
      </c>
      <c r="N61" s="19">
        <f>IF($C61="","",IFERROR(INDEX(Produtos!$D$4:$D$103,MATCH($C61,Produtos!$A$4:$A$103,0)),""))</f>
        <v/>
      </c>
      <c r="O61" s="27">
        <f>IF($C61="","",IFERROR(INDEX(Produtos!$E$4:$E$103,MATCH($C61,Produtos!$A$4:$A$103,0)),""))</f>
        <v/>
      </c>
      <c r="P61" s="19">
        <f>IF($C61="","",IFERROR(INDEX(Produtos!$G$4:$G$103,MATCH($C61,Produtos!$A$4:$A$103,0)),""))</f>
        <v/>
      </c>
      <c r="Q61" s="19">
        <f>IF($C61="","",IFERROR(INDEX(Produtos!$H$4:$H$103,MATCH($C61,Produtos!$A$4:$A$103,0)),""))</f>
        <v/>
      </c>
      <c r="R61" s="19">
        <f>IF($C61="","",IFERROR(INDEX(Produtos!$I$4:$I$103,MATCH($C61,Produtos!$A$4:$A$103,0)),""))</f>
        <v/>
      </c>
      <c r="S61" s="28">
        <f>IF($C61="","",IFERROR(INDEX(Produtos!$J$4:$J$103,MATCH($C61,Produtos!$A$4:$A$103,0)),""))</f>
        <v/>
      </c>
      <c r="T61" s="27">
        <f>IF($AG61&lt;&gt;"Pronta","",IFERROR(IF($F61&lt;=INDEX(Regras!$C$4:$C$103,MATCH($D61,Regras!$A$4:$A$103,0)),INDEX(Regras!$E$4:$E$103,MATCH($D61,Regras!$A$4:$A$103,0)),IF($F61&gt;=INDEX(Regras!$D$4:$D$103,MATCH($D61,Regras!$A$4:$A$103,0)),INDEX(Regras!$F$4:$F$103,MATCH($D61,Regras!$A$4:$A$103,0)),0)),""))</f>
        <v/>
      </c>
      <c r="U61" s="27">
        <f>IF($AG61&lt;&gt;"Pronta","",IFERROR(IF($G61="",0,IF($G61&lt;=$E61*(1-INDEX(Regras!$G$4:$G$103,MATCH($D61,Regras!$A$4:$A$103,0))),INDEX(Regras!$H$4:$H$103,MATCH($D61,Regras!$A$4:$A$103,0)),IF($G61&gt;=$E61*(1+INDEX(Regras!$G$4:$G$103,MATCH($D61,Regras!$A$4:$A$103,0))),INDEX(Regras!$I$4:$I$103,MATCH($D61,Regras!$A$4:$A$103,0)),0))),""))</f>
        <v/>
      </c>
      <c r="V61" s="27">
        <f>IF($AG61&lt;&gt;"Pronta","",IFERROR(IF($H61/$S61&lt;=INDEX(Regras!$J$4:$J$103,MATCH($D61,Regras!$A$4:$A$103,0)),INDEX(Regras!$L$4:$L$103,MATCH($D61,Regras!$A$4:$A$103,0)),IF($H61/$S61&gt;=INDEX(Regras!$K$4:$K$103,MATCH($D61,Regras!$A$4:$A$103,0)),INDEX(Regras!$M$4:$M$103,MATCH($D61,Regras!$A$4:$A$103,0)),0)),""))</f>
        <v/>
      </c>
      <c r="W61" s="27">
        <f>IF($AG61&lt;&gt;"Pronta","",SUM($T61:$V61))</f>
        <v/>
      </c>
      <c r="X61" s="27">
        <f>IF($AG61&lt;&gt;"Pronta","",IFERROR(MAX(-INDEX(Regras!$N$4:$N$103,MATCH($D61,Regras!$A$4:$A$103,0)),MIN(INDEX(Regras!$N$4:$N$103,MATCH($D61,Regras!$A$4:$A$103,0)),$W61)),""))</f>
        <v/>
      </c>
      <c r="Y61" s="19">
        <f>IF($AG61&lt;&gt;"Pronta","",IFERROR(ROUND($E61*(1+$X61),2),""))</f>
        <v/>
      </c>
      <c r="Z61" s="29">
        <f>IF(OR($AG61&lt;&gt;"Pronta",$Q61="",$R61=""),"",IFERROR(ROUND(MIN($R61,MAX($Q61,$Y61)),2),""))</f>
        <v/>
      </c>
      <c r="AA61" s="27">
        <f>IF(OR($E61="",$Z61=""),"",IFERROR($Z61/$E61-1,""))</f>
        <v/>
      </c>
      <c r="AB61" s="26">
        <f>IF($Z61="","",IF($Y61&lt;$Q61,"Piso",IF($Y61&gt;$R61,"Teto","Nenhuma")))</f>
        <v/>
      </c>
      <c r="AC61" s="21">
        <f>IF($A61="","",IF($AG61&lt;&gt;"Pronta","Aguardando dados válidos",_xlfn.TEXTJOIN(" | ",TRUE,IF($T61&gt;0,"Demanda: aumento",IF($T61&lt;0,"Demanda: redução","")),IF($U61&gt;0,"Concorrência: aumento",IF($U61&lt;0,"Concorrência: redução","")),IF($V61&gt;0,"Estoque: aumento",IF($V61&lt;0,"Estoque: redução","")),IF(ABS($W61-$X61)&gt;0.0000001,"Limite da rodada aplicado",""),IF($AB61="Piso","Piso vigente aplicado",IF($AB61="Teto","Teto aplicado","")),IF(AND($T61=0,$U61=0,$V61=0),"Sem gatilho de reajuste",""))))</f>
        <v/>
      </c>
      <c r="AD61" s="21">
        <f>IF(OR($A61="",$AG61&lt;&gt;"Pronta"),"",_xlfn.TEXTJOIN(" | ",TRUE,IF($E61&lt;$Q61,"Preço atual abaixo do piso",""),IF($E61&gt;$R61,"Preço atual acima do teto",""),IF(AND($N61&gt;0,$E61&gt;0,1-$N61/$E61&lt;$O61),"Margem estimada do preço atual abaixo do mínimo",""),IF($G61="","Preço concorrente não informado",""),IF($AB61="Piso","Recomendação travada no piso",""),IF($AB61="Teto","Recomendação travada no teto","")))</f>
        <v/>
      </c>
      <c r="AE61" s="19">
        <f>IF($AG61&lt;&gt;"Pronta","",IF($I61="Aprovar recomendação",$Z61,IF($I61="Manter preço atual",$E61,IF($I61="Definir manualmente",$J61,""))))</f>
        <v/>
      </c>
      <c r="AF61" s="21">
        <f>IF($A61="","",IF($AG61&lt;&gt;"Pronta","Aguardando correção",IF(OR($I61="",$I61="Pendente"),"Decisão pendente",IF(AND($I61="Definir manualmente",OR($J61="",$J61&lt;=0)),"Informe o preço manual",IF(OR($AE61&lt;$Q61,$AE61&gt;$R61),"Preço final fora do piso/teto","OK")))))</f>
        <v/>
      </c>
      <c r="AG61" s="26">
        <f>IF(COUNTA($A61:$K61)=0,"",IF(OR($A61="",$B61="",$C61="",$D61="",$E61="",$F61="",$H61=""),"Incompleta",IF(OR(COUNTIF($A$5:$A$204,$A61)&gt;1,NOT(ISNUMBER($B61)),COUNTIF(Produtos!$A$4:$A$103,$C61)&lt;&gt;1,IFERROR(INDEX(Produtos!$K$4:$K$103,MATCH($C61,Produtos!$A$4:$A$103,0))&lt;&gt;"Ativo",TRUE),IFERROR(INDEX(Produtos!$L$4:$L$103,MATCH($C61,Produtos!$A$4:$A$103,0))&lt;&gt;"OK",TRUE),COUNTIF(Regras!$A$4:$A$103,$D61)&lt;&gt;1,IFERROR(INDEX(Regras!$O$4:$O$103,MATCH($D61,Regras!$A$4:$A$103,0))&lt;&gt;"Sim",TRUE),IFERROR(INDEX(Regras!$P$4:$P$103,MATCH($D61,Regras!$A$4:$A$103,0))&lt;&gt;"OK",TRUE),NOT(ISNUMBER($E61)),$E61&lt;=0,NOT(ISNUMBER($F61)),$F61&lt;0,$F61&gt;5,NOT(ISNUMBER($H61)),$H61&lt;0,$H61&lt;&gt;INT($H61),AND($G61&lt;&gt;"",OR(NOT(ISNUMBER($G61)),$G61&lt;=0))),"Revisar","Pronta")))</f>
        <v/>
      </c>
    </row>
    <row r="62">
      <c r="A62" s="16" t="n"/>
      <c r="B62" s="24" t="n"/>
      <c r="C62" s="16" t="n"/>
      <c r="D62" s="16" t="n"/>
      <c r="E62" s="17" t="n"/>
      <c r="F62" s="18" t="n"/>
      <c r="G62" s="17" t="n"/>
      <c r="H62" s="20" t="n"/>
      <c r="I62" s="16" t="n"/>
      <c r="J62" s="17" t="n"/>
      <c r="K62" s="25" t="n"/>
      <c r="L62" s="26">
        <f>IF($C62="","",IFERROR(INDEX(Produtos!$B$4:$B$103,MATCH($C62,Produtos!$A$4:$A$103,0)),""))</f>
        <v/>
      </c>
      <c r="M62" s="26">
        <f>IF($C62="","",IFERROR(INDEX(Produtos!$C$4:$C$103,MATCH($C62,Produtos!$A$4:$A$103,0)),""))</f>
        <v/>
      </c>
      <c r="N62" s="19">
        <f>IF($C62="","",IFERROR(INDEX(Produtos!$D$4:$D$103,MATCH($C62,Produtos!$A$4:$A$103,0)),""))</f>
        <v/>
      </c>
      <c r="O62" s="27">
        <f>IF($C62="","",IFERROR(INDEX(Produtos!$E$4:$E$103,MATCH($C62,Produtos!$A$4:$A$103,0)),""))</f>
        <v/>
      </c>
      <c r="P62" s="19">
        <f>IF($C62="","",IFERROR(INDEX(Produtos!$G$4:$G$103,MATCH($C62,Produtos!$A$4:$A$103,0)),""))</f>
        <v/>
      </c>
      <c r="Q62" s="19">
        <f>IF($C62="","",IFERROR(INDEX(Produtos!$H$4:$H$103,MATCH($C62,Produtos!$A$4:$A$103,0)),""))</f>
        <v/>
      </c>
      <c r="R62" s="19">
        <f>IF($C62="","",IFERROR(INDEX(Produtos!$I$4:$I$103,MATCH($C62,Produtos!$A$4:$A$103,0)),""))</f>
        <v/>
      </c>
      <c r="S62" s="28">
        <f>IF($C62="","",IFERROR(INDEX(Produtos!$J$4:$J$103,MATCH($C62,Produtos!$A$4:$A$103,0)),""))</f>
        <v/>
      </c>
      <c r="T62" s="27">
        <f>IF($AG62&lt;&gt;"Pronta","",IFERROR(IF($F62&lt;=INDEX(Regras!$C$4:$C$103,MATCH($D62,Regras!$A$4:$A$103,0)),INDEX(Regras!$E$4:$E$103,MATCH($D62,Regras!$A$4:$A$103,0)),IF($F62&gt;=INDEX(Regras!$D$4:$D$103,MATCH($D62,Regras!$A$4:$A$103,0)),INDEX(Regras!$F$4:$F$103,MATCH($D62,Regras!$A$4:$A$103,0)),0)),""))</f>
        <v/>
      </c>
      <c r="U62" s="27">
        <f>IF($AG62&lt;&gt;"Pronta","",IFERROR(IF($G62="",0,IF($G62&lt;=$E62*(1-INDEX(Regras!$G$4:$G$103,MATCH($D62,Regras!$A$4:$A$103,0))),INDEX(Regras!$H$4:$H$103,MATCH($D62,Regras!$A$4:$A$103,0)),IF($G62&gt;=$E62*(1+INDEX(Regras!$G$4:$G$103,MATCH($D62,Regras!$A$4:$A$103,0))),INDEX(Regras!$I$4:$I$103,MATCH($D62,Regras!$A$4:$A$103,0)),0))),""))</f>
        <v/>
      </c>
      <c r="V62" s="27">
        <f>IF($AG62&lt;&gt;"Pronta","",IFERROR(IF($H62/$S62&lt;=INDEX(Regras!$J$4:$J$103,MATCH($D62,Regras!$A$4:$A$103,0)),INDEX(Regras!$L$4:$L$103,MATCH($D62,Regras!$A$4:$A$103,0)),IF($H62/$S62&gt;=INDEX(Regras!$K$4:$K$103,MATCH($D62,Regras!$A$4:$A$103,0)),INDEX(Regras!$M$4:$M$103,MATCH($D62,Regras!$A$4:$A$103,0)),0)),""))</f>
        <v/>
      </c>
      <c r="W62" s="27">
        <f>IF($AG62&lt;&gt;"Pronta","",SUM($T62:$V62))</f>
        <v/>
      </c>
      <c r="X62" s="27">
        <f>IF($AG62&lt;&gt;"Pronta","",IFERROR(MAX(-INDEX(Regras!$N$4:$N$103,MATCH($D62,Regras!$A$4:$A$103,0)),MIN(INDEX(Regras!$N$4:$N$103,MATCH($D62,Regras!$A$4:$A$103,0)),$W62)),""))</f>
        <v/>
      </c>
      <c r="Y62" s="19">
        <f>IF($AG62&lt;&gt;"Pronta","",IFERROR(ROUND($E62*(1+$X62),2),""))</f>
        <v/>
      </c>
      <c r="Z62" s="29">
        <f>IF(OR($AG62&lt;&gt;"Pronta",$Q62="",$R62=""),"",IFERROR(ROUND(MIN($R62,MAX($Q62,$Y62)),2),""))</f>
        <v/>
      </c>
      <c r="AA62" s="27">
        <f>IF(OR($E62="",$Z62=""),"",IFERROR($Z62/$E62-1,""))</f>
        <v/>
      </c>
      <c r="AB62" s="26">
        <f>IF($Z62="","",IF($Y62&lt;$Q62,"Piso",IF($Y62&gt;$R62,"Teto","Nenhuma")))</f>
        <v/>
      </c>
      <c r="AC62" s="21">
        <f>IF($A62="","",IF($AG62&lt;&gt;"Pronta","Aguardando dados válidos",_xlfn.TEXTJOIN(" | ",TRUE,IF($T62&gt;0,"Demanda: aumento",IF($T62&lt;0,"Demanda: redução","")),IF($U62&gt;0,"Concorrência: aumento",IF($U62&lt;0,"Concorrência: redução","")),IF($V62&gt;0,"Estoque: aumento",IF($V62&lt;0,"Estoque: redução","")),IF(ABS($W62-$X62)&gt;0.0000001,"Limite da rodada aplicado",""),IF($AB62="Piso","Piso vigente aplicado",IF($AB62="Teto","Teto aplicado","")),IF(AND($T62=0,$U62=0,$V62=0),"Sem gatilho de reajuste",""))))</f>
        <v/>
      </c>
      <c r="AD62" s="21">
        <f>IF(OR($A62="",$AG62&lt;&gt;"Pronta"),"",_xlfn.TEXTJOIN(" | ",TRUE,IF($E62&lt;$Q62,"Preço atual abaixo do piso",""),IF($E62&gt;$R62,"Preço atual acima do teto",""),IF(AND($N62&gt;0,$E62&gt;0,1-$N62/$E62&lt;$O62),"Margem estimada do preço atual abaixo do mínimo",""),IF($G62="","Preço concorrente não informado",""),IF($AB62="Piso","Recomendação travada no piso",""),IF($AB62="Teto","Recomendação travada no teto","")))</f>
        <v/>
      </c>
      <c r="AE62" s="19">
        <f>IF($AG62&lt;&gt;"Pronta","",IF($I62="Aprovar recomendação",$Z62,IF($I62="Manter preço atual",$E62,IF($I62="Definir manualmente",$J62,""))))</f>
        <v/>
      </c>
      <c r="AF62" s="21">
        <f>IF($A62="","",IF($AG62&lt;&gt;"Pronta","Aguardando correção",IF(OR($I62="",$I62="Pendente"),"Decisão pendente",IF(AND($I62="Definir manualmente",OR($J62="",$J62&lt;=0)),"Informe o preço manual",IF(OR($AE62&lt;$Q62,$AE62&gt;$R62),"Preço final fora do piso/teto","OK")))))</f>
        <v/>
      </c>
      <c r="AG62" s="26">
        <f>IF(COUNTA($A62:$K62)=0,"",IF(OR($A62="",$B62="",$C62="",$D62="",$E62="",$F62="",$H62=""),"Incompleta",IF(OR(COUNTIF($A$5:$A$204,$A62)&gt;1,NOT(ISNUMBER($B62)),COUNTIF(Produtos!$A$4:$A$103,$C62)&lt;&gt;1,IFERROR(INDEX(Produtos!$K$4:$K$103,MATCH($C62,Produtos!$A$4:$A$103,0))&lt;&gt;"Ativo",TRUE),IFERROR(INDEX(Produtos!$L$4:$L$103,MATCH($C62,Produtos!$A$4:$A$103,0))&lt;&gt;"OK",TRUE),COUNTIF(Regras!$A$4:$A$103,$D62)&lt;&gt;1,IFERROR(INDEX(Regras!$O$4:$O$103,MATCH($D62,Regras!$A$4:$A$103,0))&lt;&gt;"Sim",TRUE),IFERROR(INDEX(Regras!$P$4:$P$103,MATCH($D62,Regras!$A$4:$A$103,0))&lt;&gt;"OK",TRUE),NOT(ISNUMBER($E62)),$E62&lt;=0,NOT(ISNUMBER($F62)),$F62&lt;0,$F62&gt;5,NOT(ISNUMBER($H62)),$H62&lt;0,$H62&lt;&gt;INT($H62),AND($G62&lt;&gt;"",OR(NOT(ISNUMBER($G62)),$G62&lt;=0))),"Revisar","Pronta")))</f>
        <v/>
      </c>
    </row>
    <row r="63">
      <c r="A63" s="16" t="n"/>
      <c r="B63" s="24" t="n"/>
      <c r="C63" s="16" t="n"/>
      <c r="D63" s="16" t="n"/>
      <c r="E63" s="17" t="n"/>
      <c r="F63" s="18" t="n"/>
      <c r="G63" s="17" t="n"/>
      <c r="H63" s="20" t="n"/>
      <c r="I63" s="16" t="n"/>
      <c r="J63" s="17" t="n"/>
      <c r="K63" s="25" t="n"/>
      <c r="L63" s="26">
        <f>IF($C63="","",IFERROR(INDEX(Produtos!$B$4:$B$103,MATCH($C63,Produtos!$A$4:$A$103,0)),""))</f>
        <v/>
      </c>
      <c r="M63" s="26">
        <f>IF($C63="","",IFERROR(INDEX(Produtos!$C$4:$C$103,MATCH($C63,Produtos!$A$4:$A$103,0)),""))</f>
        <v/>
      </c>
      <c r="N63" s="19">
        <f>IF($C63="","",IFERROR(INDEX(Produtos!$D$4:$D$103,MATCH($C63,Produtos!$A$4:$A$103,0)),""))</f>
        <v/>
      </c>
      <c r="O63" s="27">
        <f>IF($C63="","",IFERROR(INDEX(Produtos!$E$4:$E$103,MATCH($C63,Produtos!$A$4:$A$103,0)),""))</f>
        <v/>
      </c>
      <c r="P63" s="19">
        <f>IF($C63="","",IFERROR(INDEX(Produtos!$G$4:$G$103,MATCH($C63,Produtos!$A$4:$A$103,0)),""))</f>
        <v/>
      </c>
      <c r="Q63" s="19">
        <f>IF($C63="","",IFERROR(INDEX(Produtos!$H$4:$H$103,MATCH($C63,Produtos!$A$4:$A$103,0)),""))</f>
        <v/>
      </c>
      <c r="R63" s="19">
        <f>IF($C63="","",IFERROR(INDEX(Produtos!$I$4:$I$103,MATCH($C63,Produtos!$A$4:$A$103,0)),""))</f>
        <v/>
      </c>
      <c r="S63" s="28">
        <f>IF($C63="","",IFERROR(INDEX(Produtos!$J$4:$J$103,MATCH($C63,Produtos!$A$4:$A$103,0)),""))</f>
        <v/>
      </c>
      <c r="T63" s="27">
        <f>IF($AG63&lt;&gt;"Pronta","",IFERROR(IF($F63&lt;=INDEX(Regras!$C$4:$C$103,MATCH($D63,Regras!$A$4:$A$103,0)),INDEX(Regras!$E$4:$E$103,MATCH($D63,Regras!$A$4:$A$103,0)),IF($F63&gt;=INDEX(Regras!$D$4:$D$103,MATCH($D63,Regras!$A$4:$A$103,0)),INDEX(Regras!$F$4:$F$103,MATCH($D63,Regras!$A$4:$A$103,0)),0)),""))</f>
        <v/>
      </c>
      <c r="U63" s="27">
        <f>IF($AG63&lt;&gt;"Pronta","",IFERROR(IF($G63="",0,IF($G63&lt;=$E63*(1-INDEX(Regras!$G$4:$G$103,MATCH($D63,Regras!$A$4:$A$103,0))),INDEX(Regras!$H$4:$H$103,MATCH($D63,Regras!$A$4:$A$103,0)),IF($G63&gt;=$E63*(1+INDEX(Regras!$G$4:$G$103,MATCH($D63,Regras!$A$4:$A$103,0))),INDEX(Regras!$I$4:$I$103,MATCH($D63,Regras!$A$4:$A$103,0)),0))),""))</f>
        <v/>
      </c>
      <c r="V63" s="27">
        <f>IF($AG63&lt;&gt;"Pronta","",IFERROR(IF($H63/$S63&lt;=INDEX(Regras!$J$4:$J$103,MATCH($D63,Regras!$A$4:$A$103,0)),INDEX(Regras!$L$4:$L$103,MATCH($D63,Regras!$A$4:$A$103,0)),IF($H63/$S63&gt;=INDEX(Regras!$K$4:$K$103,MATCH($D63,Regras!$A$4:$A$103,0)),INDEX(Regras!$M$4:$M$103,MATCH($D63,Regras!$A$4:$A$103,0)),0)),""))</f>
        <v/>
      </c>
      <c r="W63" s="27">
        <f>IF($AG63&lt;&gt;"Pronta","",SUM($T63:$V63))</f>
        <v/>
      </c>
      <c r="X63" s="27">
        <f>IF($AG63&lt;&gt;"Pronta","",IFERROR(MAX(-INDEX(Regras!$N$4:$N$103,MATCH($D63,Regras!$A$4:$A$103,0)),MIN(INDEX(Regras!$N$4:$N$103,MATCH($D63,Regras!$A$4:$A$103,0)),$W63)),""))</f>
        <v/>
      </c>
      <c r="Y63" s="19">
        <f>IF($AG63&lt;&gt;"Pronta","",IFERROR(ROUND($E63*(1+$X63),2),""))</f>
        <v/>
      </c>
      <c r="Z63" s="29">
        <f>IF(OR($AG63&lt;&gt;"Pronta",$Q63="",$R63=""),"",IFERROR(ROUND(MIN($R63,MAX($Q63,$Y63)),2),""))</f>
        <v/>
      </c>
      <c r="AA63" s="27">
        <f>IF(OR($E63="",$Z63=""),"",IFERROR($Z63/$E63-1,""))</f>
        <v/>
      </c>
      <c r="AB63" s="26">
        <f>IF($Z63="","",IF($Y63&lt;$Q63,"Piso",IF($Y63&gt;$R63,"Teto","Nenhuma")))</f>
        <v/>
      </c>
      <c r="AC63" s="21">
        <f>IF($A63="","",IF($AG63&lt;&gt;"Pronta","Aguardando dados válidos",_xlfn.TEXTJOIN(" | ",TRUE,IF($T63&gt;0,"Demanda: aumento",IF($T63&lt;0,"Demanda: redução","")),IF($U63&gt;0,"Concorrência: aumento",IF($U63&lt;0,"Concorrência: redução","")),IF($V63&gt;0,"Estoque: aumento",IF($V63&lt;0,"Estoque: redução","")),IF(ABS($W63-$X63)&gt;0.0000001,"Limite da rodada aplicado",""),IF($AB63="Piso","Piso vigente aplicado",IF($AB63="Teto","Teto aplicado","")),IF(AND($T63=0,$U63=0,$V63=0),"Sem gatilho de reajuste",""))))</f>
        <v/>
      </c>
      <c r="AD63" s="21">
        <f>IF(OR($A63="",$AG63&lt;&gt;"Pronta"),"",_xlfn.TEXTJOIN(" | ",TRUE,IF($E63&lt;$Q63,"Preço atual abaixo do piso",""),IF($E63&gt;$R63,"Preço atual acima do teto",""),IF(AND($N63&gt;0,$E63&gt;0,1-$N63/$E63&lt;$O63),"Margem estimada do preço atual abaixo do mínimo",""),IF($G63="","Preço concorrente não informado",""),IF($AB63="Piso","Recomendação travada no piso",""),IF($AB63="Teto","Recomendação travada no teto","")))</f>
        <v/>
      </c>
      <c r="AE63" s="19">
        <f>IF($AG63&lt;&gt;"Pronta","",IF($I63="Aprovar recomendação",$Z63,IF($I63="Manter preço atual",$E63,IF($I63="Definir manualmente",$J63,""))))</f>
        <v/>
      </c>
      <c r="AF63" s="21">
        <f>IF($A63="","",IF($AG63&lt;&gt;"Pronta","Aguardando correção",IF(OR($I63="",$I63="Pendente"),"Decisão pendente",IF(AND($I63="Definir manualmente",OR($J63="",$J63&lt;=0)),"Informe o preço manual",IF(OR($AE63&lt;$Q63,$AE63&gt;$R63),"Preço final fora do piso/teto","OK")))))</f>
        <v/>
      </c>
      <c r="AG63" s="26">
        <f>IF(COUNTA($A63:$K63)=0,"",IF(OR($A63="",$B63="",$C63="",$D63="",$E63="",$F63="",$H63=""),"Incompleta",IF(OR(COUNTIF($A$5:$A$204,$A63)&gt;1,NOT(ISNUMBER($B63)),COUNTIF(Produtos!$A$4:$A$103,$C63)&lt;&gt;1,IFERROR(INDEX(Produtos!$K$4:$K$103,MATCH($C63,Produtos!$A$4:$A$103,0))&lt;&gt;"Ativo",TRUE),IFERROR(INDEX(Produtos!$L$4:$L$103,MATCH($C63,Produtos!$A$4:$A$103,0))&lt;&gt;"OK",TRUE),COUNTIF(Regras!$A$4:$A$103,$D63)&lt;&gt;1,IFERROR(INDEX(Regras!$O$4:$O$103,MATCH($D63,Regras!$A$4:$A$103,0))&lt;&gt;"Sim",TRUE),IFERROR(INDEX(Regras!$P$4:$P$103,MATCH($D63,Regras!$A$4:$A$103,0))&lt;&gt;"OK",TRUE),NOT(ISNUMBER($E63)),$E63&lt;=0,NOT(ISNUMBER($F63)),$F63&lt;0,$F63&gt;5,NOT(ISNUMBER($H63)),$H63&lt;0,$H63&lt;&gt;INT($H63),AND($G63&lt;&gt;"",OR(NOT(ISNUMBER($G63)),$G63&lt;=0))),"Revisar","Pronta")))</f>
        <v/>
      </c>
    </row>
    <row r="64">
      <c r="A64" s="16" t="n"/>
      <c r="B64" s="24" t="n"/>
      <c r="C64" s="16" t="n"/>
      <c r="D64" s="16" t="n"/>
      <c r="E64" s="17" t="n"/>
      <c r="F64" s="18" t="n"/>
      <c r="G64" s="17" t="n"/>
      <c r="H64" s="20" t="n"/>
      <c r="I64" s="16" t="n"/>
      <c r="J64" s="17" t="n"/>
      <c r="K64" s="25" t="n"/>
      <c r="L64" s="26">
        <f>IF($C64="","",IFERROR(INDEX(Produtos!$B$4:$B$103,MATCH($C64,Produtos!$A$4:$A$103,0)),""))</f>
        <v/>
      </c>
      <c r="M64" s="26">
        <f>IF($C64="","",IFERROR(INDEX(Produtos!$C$4:$C$103,MATCH($C64,Produtos!$A$4:$A$103,0)),""))</f>
        <v/>
      </c>
      <c r="N64" s="19">
        <f>IF($C64="","",IFERROR(INDEX(Produtos!$D$4:$D$103,MATCH($C64,Produtos!$A$4:$A$103,0)),""))</f>
        <v/>
      </c>
      <c r="O64" s="27">
        <f>IF($C64="","",IFERROR(INDEX(Produtos!$E$4:$E$103,MATCH($C64,Produtos!$A$4:$A$103,0)),""))</f>
        <v/>
      </c>
      <c r="P64" s="19">
        <f>IF($C64="","",IFERROR(INDEX(Produtos!$G$4:$G$103,MATCH($C64,Produtos!$A$4:$A$103,0)),""))</f>
        <v/>
      </c>
      <c r="Q64" s="19">
        <f>IF($C64="","",IFERROR(INDEX(Produtos!$H$4:$H$103,MATCH($C64,Produtos!$A$4:$A$103,0)),""))</f>
        <v/>
      </c>
      <c r="R64" s="19">
        <f>IF($C64="","",IFERROR(INDEX(Produtos!$I$4:$I$103,MATCH($C64,Produtos!$A$4:$A$103,0)),""))</f>
        <v/>
      </c>
      <c r="S64" s="28">
        <f>IF($C64="","",IFERROR(INDEX(Produtos!$J$4:$J$103,MATCH($C64,Produtos!$A$4:$A$103,0)),""))</f>
        <v/>
      </c>
      <c r="T64" s="27">
        <f>IF($AG64&lt;&gt;"Pronta","",IFERROR(IF($F64&lt;=INDEX(Regras!$C$4:$C$103,MATCH($D64,Regras!$A$4:$A$103,0)),INDEX(Regras!$E$4:$E$103,MATCH($D64,Regras!$A$4:$A$103,0)),IF($F64&gt;=INDEX(Regras!$D$4:$D$103,MATCH($D64,Regras!$A$4:$A$103,0)),INDEX(Regras!$F$4:$F$103,MATCH($D64,Regras!$A$4:$A$103,0)),0)),""))</f>
        <v/>
      </c>
      <c r="U64" s="27">
        <f>IF($AG64&lt;&gt;"Pronta","",IFERROR(IF($G64="",0,IF($G64&lt;=$E64*(1-INDEX(Regras!$G$4:$G$103,MATCH($D64,Regras!$A$4:$A$103,0))),INDEX(Regras!$H$4:$H$103,MATCH($D64,Regras!$A$4:$A$103,0)),IF($G64&gt;=$E64*(1+INDEX(Regras!$G$4:$G$103,MATCH($D64,Regras!$A$4:$A$103,0))),INDEX(Regras!$I$4:$I$103,MATCH($D64,Regras!$A$4:$A$103,0)),0))),""))</f>
        <v/>
      </c>
      <c r="V64" s="27">
        <f>IF($AG64&lt;&gt;"Pronta","",IFERROR(IF($H64/$S64&lt;=INDEX(Regras!$J$4:$J$103,MATCH($D64,Regras!$A$4:$A$103,0)),INDEX(Regras!$L$4:$L$103,MATCH($D64,Regras!$A$4:$A$103,0)),IF($H64/$S64&gt;=INDEX(Regras!$K$4:$K$103,MATCH($D64,Regras!$A$4:$A$103,0)),INDEX(Regras!$M$4:$M$103,MATCH($D64,Regras!$A$4:$A$103,0)),0)),""))</f>
        <v/>
      </c>
      <c r="W64" s="27">
        <f>IF($AG64&lt;&gt;"Pronta","",SUM($T64:$V64))</f>
        <v/>
      </c>
      <c r="X64" s="27">
        <f>IF($AG64&lt;&gt;"Pronta","",IFERROR(MAX(-INDEX(Regras!$N$4:$N$103,MATCH($D64,Regras!$A$4:$A$103,0)),MIN(INDEX(Regras!$N$4:$N$103,MATCH($D64,Regras!$A$4:$A$103,0)),$W64)),""))</f>
        <v/>
      </c>
      <c r="Y64" s="19">
        <f>IF($AG64&lt;&gt;"Pronta","",IFERROR(ROUND($E64*(1+$X64),2),""))</f>
        <v/>
      </c>
      <c r="Z64" s="29">
        <f>IF(OR($AG64&lt;&gt;"Pronta",$Q64="",$R64=""),"",IFERROR(ROUND(MIN($R64,MAX($Q64,$Y64)),2),""))</f>
        <v/>
      </c>
      <c r="AA64" s="27">
        <f>IF(OR($E64="",$Z64=""),"",IFERROR($Z64/$E64-1,""))</f>
        <v/>
      </c>
      <c r="AB64" s="26">
        <f>IF($Z64="","",IF($Y64&lt;$Q64,"Piso",IF($Y64&gt;$R64,"Teto","Nenhuma")))</f>
        <v/>
      </c>
      <c r="AC64" s="21">
        <f>IF($A64="","",IF($AG64&lt;&gt;"Pronta","Aguardando dados válidos",_xlfn.TEXTJOIN(" | ",TRUE,IF($T64&gt;0,"Demanda: aumento",IF($T64&lt;0,"Demanda: redução","")),IF($U64&gt;0,"Concorrência: aumento",IF($U64&lt;0,"Concorrência: redução","")),IF($V64&gt;0,"Estoque: aumento",IF($V64&lt;0,"Estoque: redução","")),IF(ABS($W64-$X64)&gt;0.0000001,"Limite da rodada aplicado",""),IF($AB64="Piso","Piso vigente aplicado",IF($AB64="Teto","Teto aplicado","")),IF(AND($T64=0,$U64=0,$V64=0),"Sem gatilho de reajuste",""))))</f>
        <v/>
      </c>
      <c r="AD64" s="21">
        <f>IF(OR($A64="",$AG64&lt;&gt;"Pronta"),"",_xlfn.TEXTJOIN(" | ",TRUE,IF($E64&lt;$Q64,"Preço atual abaixo do piso",""),IF($E64&gt;$R64,"Preço atual acima do teto",""),IF(AND($N64&gt;0,$E64&gt;0,1-$N64/$E64&lt;$O64),"Margem estimada do preço atual abaixo do mínimo",""),IF($G64="","Preço concorrente não informado",""),IF($AB64="Piso","Recomendação travada no piso",""),IF($AB64="Teto","Recomendação travada no teto","")))</f>
        <v/>
      </c>
      <c r="AE64" s="19">
        <f>IF($AG64&lt;&gt;"Pronta","",IF($I64="Aprovar recomendação",$Z64,IF($I64="Manter preço atual",$E64,IF($I64="Definir manualmente",$J64,""))))</f>
        <v/>
      </c>
      <c r="AF64" s="21">
        <f>IF($A64="","",IF($AG64&lt;&gt;"Pronta","Aguardando correção",IF(OR($I64="",$I64="Pendente"),"Decisão pendente",IF(AND($I64="Definir manualmente",OR($J64="",$J64&lt;=0)),"Informe o preço manual",IF(OR($AE64&lt;$Q64,$AE64&gt;$R64),"Preço final fora do piso/teto","OK")))))</f>
        <v/>
      </c>
      <c r="AG64" s="26">
        <f>IF(COUNTA($A64:$K64)=0,"",IF(OR($A64="",$B64="",$C64="",$D64="",$E64="",$F64="",$H64=""),"Incompleta",IF(OR(COUNTIF($A$5:$A$204,$A64)&gt;1,NOT(ISNUMBER($B64)),COUNTIF(Produtos!$A$4:$A$103,$C64)&lt;&gt;1,IFERROR(INDEX(Produtos!$K$4:$K$103,MATCH($C64,Produtos!$A$4:$A$103,0))&lt;&gt;"Ativo",TRUE),IFERROR(INDEX(Produtos!$L$4:$L$103,MATCH($C64,Produtos!$A$4:$A$103,0))&lt;&gt;"OK",TRUE),COUNTIF(Regras!$A$4:$A$103,$D64)&lt;&gt;1,IFERROR(INDEX(Regras!$O$4:$O$103,MATCH($D64,Regras!$A$4:$A$103,0))&lt;&gt;"Sim",TRUE),IFERROR(INDEX(Regras!$P$4:$P$103,MATCH($D64,Regras!$A$4:$A$103,0))&lt;&gt;"OK",TRUE),NOT(ISNUMBER($E64)),$E64&lt;=0,NOT(ISNUMBER($F64)),$F64&lt;0,$F64&gt;5,NOT(ISNUMBER($H64)),$H64&lt;0,$H64&lt;&gt;INT($H64),AND($G64&lt;&gt;"",OR(NOT(ISNUMBER($G64)),$G64&lt;=0))),"Revisar","Pronta")))</f>
        <v/>
      </c>
    </row>
    <row r="65">
      <c r="A65" s="16" t="n"/>
      <c r="B65" s="24" t="n"/>
      <c r="C65" s="16" t="n"/>
      <c r="D65" s="16" t="n"/>
      <c r="E65" s="17" t="n"/>
      <c r="F65" s="18" t="n"/>
      <c r="G65" s="17" t="n"/>
      <c r="H65" s="20" t="n"/>
      <c r="I65" s="16" t="n"/>
      <c r="J65" s="17" t="n"/>
      <c r="K65" s="25" t="n"/>
      <c r="L65" s="26">
        <f>IF($C65="","",IFERROR(INDEX(Produtos!$B$4:$B$103,MATCH($C65,Produtos!$A$4:$A$103,0)),""))</f>
        <v/>
      </c>
      <c r="M65" s="26">
        <f>IF($C65="","",IFERROR(INDEX(Produtos!$C$4:$C$103,MATCH($C65,Produtos!$A$4:$A$103,0)),""))</f>
        <v/>
      </c>
      <c r="N65" s="19">
        <f>IF($C65="","",IFERROR(INDEX(Produtos!$D$4:$D$103,MATCH($C65,Produtos!$A$4:$A$103,0)),""))</f>
        <v/>
      </c>
      <c r="O65" s="27">
        <f>IF($C65="","",IFERROR(INDEX(Produtos!$E$4:$E$103,MATCH($C65,Produtos!$A$4:$A$103,0)),""))</f>
        <v/>
      </c>
      <c r="P65" s="19">
        <f>IF($C65="","",IFERROR(INDEX(Produtos!$G$4:$G$103,MATCH($C65,Produtos!$A$4:$A$103,0)),""))</f>
        <v/>
      </c>
      <c r="Q65" s="19">
        <f>IF($C65="","",IFERROR(INDEX(Produtos!$H$4:$H$103,MATCH($C65,Produtos!$A$4:$A$103,0)),""))</f>
        <v/>
      </c>
      <c r="R65" s="19">
        <f>IF($C65="","",IFERROR(INDEX(Produtos!$I$4:$I$103,MATCH($C65,Produtos!$A$4:$A$103,0)),""))</f>
        <v/>
      </c>
      <c r="S65" s="28">
        <f>IF($C65="","",IFERROR(INDEX(Produtos!$J$4:$J$103,MATCH($C65,Produtos!$A$4:$A$103,0)),""))</f>
        <v/>
      </c>
      <c r="T65" s="27">
        <f>IF($AG65&lt;&gt;"Pronta","",IFERROR(IF($F65&lt;=INDEX(Regras!$C$4:$C$103,MATCH($D65,Regras!$A$4:$A$103,0)),INDEX(Regras!$E$4:$E$103,MATCH($D65,Regras!$A$4:$A$103,0)),IF($F65&gt;=INDEX(Regras!$D$4:$D$103,MATCH($D65,Regras!$A$4:$A$103,0)),INDEX(Regras!$F$4:$F$103,MATCH($D65,Regras!$A$4:$A$103,0)),0)),""))</f>
        <v/>
      </c>
      <c r="U65" s="27">
        <f>IF($AG65&lt;&gt;"Pronta","",IFERROR(IF($G65="",0,IF($G65&lt;=$E65*(1-INDEX(Regras!$G$4:$G$103,MATCH($D65,Regras!$A$4:$A$103,0))),INDEX(Regras!$H$4:$H$103,MATCH($D65,Regras!$A$4:$A$103,0)),IF($G65&gt;=$E65*(1+INDEX(Regras!$G$4:$G$103,MATCH($D65,Regras!$A$4:$A$103,0))),INDEX(Regras!$I$4:$I$103,MATCH($D65,Regras!$A$4:$A$103,0)),0))),""))</f>
        <v/>
      </c>
      <c r="V65" s="27">
        <f>IF($AG65&lt;&gt;"Pronta","",IFERROR(IF($H65/$S65&lt;=INDEX(Regras!$J$4:$J$103,MATCH($D65,Regras!$A$4:$A$103,0)),INDEX(Regras!$L$4:$L$103,MATCH($D65,Regras!$A$4:$A$103,0)),IF($H65/$S65&gt;=INDEX(Regras!$K$4:$K$103,MATCH($D65,Regras!$A$4:$A$103,0)),INDEX(Regras!$M$4:$M$103,MATCH($D65,Regras!$A$4:$A$103,0)),0)),""))</f>
        <v/>
      </c>
      <c r="W65" s="27">
        <f>IF($AG65&lt;&gt;"Pronta","",SUM($T65:$V65))</f>
        <v/>
      </c>
      <c r="X65" s="27">
        <f>IF($AG65&lt;&gt;"Pronta","",IFERROR(MAX(-INDEX(Regras!$N$4:$N$103,MATCH($D65,Regras!$A$4:$A$103,0)),MIN(INDEX(Regras!$N$4:$N$103,MATCH($D65,Regras!$A$4:$A$103,0)),$W65)),""))</f>
        <v/>
      </c>
      <c r="Y65" s="19">
        <f>IF($AG65&lt;&gt;"Pronta","",IFERROR(ROUND($E65*(1+$X65),2),""))</f>
        <v/>
      </c>
      <c r="Z65" s="29">
        <f>IF(OR($AG65&lt;&gt;"Pronta",$Q65="",$R65=""),"",IFERROR(ROUND(MIN($R65,MAX($Q65,$Y65)),2),""))</f>
        <v/>
      </c>
      <c r="AA65" s="27">
        <f>IF(OR($E65="",$Z65=""),"",IFERROR($Z65/$E65-1,""))</f>
        <v/>
      </c>
      <c r="AB65" s="26">
        <f>IF($Z65="","",IF($Y65&lt;$Q65,"Piso",IF($Y65&gt;$R65,"Teto","Nenhuma")))</f>
        <v/>
      </c>
      <c r="AC65" s="21">
        <f>IF($A65="","",IF($AG65&lt;&gt;"Pronta","Aguardando dados válidos",_xlfn.TEXTJOIN(" | ",TRUE,IF($T65&gt;0,"Demanda: aumento",IF($T65&lt;0,"Demanda: redução","")),IF($U65&gt;0,"Concorrência: aumento",IF($U65&lt;0,"Concorrência: redução","")),IF($V65&gt;0,"Estoque: aumento",IF($V65&lt;0,"Estoque: redução","")),IF(ABS($W65-$X65)&gt;0.0000001,"Limite da rodada aplicado",""),IF($AB65="Piso","Piso vigente aplicado",IF($AB65="Teto","Teto aplicado","")),IF(AND($T65=0,$U65=0,$V65=0),"Sem gatilho de reajuste",""))))</f>
        <v/>
      </c>
      <c r="AD65" s="21">
        <f>IF(OR($A65="",$AG65&lt;&gt;"Pronta"),"",_xlfn.TEXTJOIN(" | ",TRUE,IF($E65&lt;$Q65,"Preço atual abaixo do piso",""),IF($E65&gt;$R65,"Preço atual acima do teto",""),IF(AND($N65&gt;0,$E65&gt;0,1-$N65/$E65&lt;$O65),"Margem estimada do preço atual abaixo do mínimo",""),IF($G65="","Preço concorrente não informado",""),IF($AB65="Piso","Recomendação travada no piso",""),IF($AB65="Teto","Recomendação travada no teto","")))</f>
        <v/>
      </c>
      <c r="AE65" s="19">
        <f>IF($AG65&lt;&gt;"Pronta","",IF($I65="Aprovar recomendação",$Z65,IF($I65="Manter preço atual",$E65,IF($I65="Definir manualmente",$J65,""))))</f>
        <v/>
      </c>
      <c r="AF65" s="21">
        <f>IF($A65="","",IF($AG65&lt;&gt;"Pronta","Aguardando correção",IF(OR($I65="",$I65="Pendente"),"Decisão pendente",IF(AND($I65="Definir manualmente",OR($J65="",$J65&lt;=0)),"Informe o preço manual",IF(OR($AE65&lt;$Q65,$AE65&gt;$R65),"Preço final fora do piso/teto","OK")))))</f>
        <v/>
      </c>
      <c r="AG65" s="26">
        <f>IF(COUNTA($A65:$K65)=0,"",IF(OR($A65="",$B65="",$C65="",$D65="",$E65="",$F65="",$H65=""),"Incompleta",IF(OR(COUNTIF($A$5:$A$204,$A65)&gt;1,NOT(ISNUMBER($B65)),COUNTIF(Produtos!$A$4:$A$103,$C65)&lt;&gt;1,IFERROR(INDEX(Produtos!$K$4:$K$103,MATCH($C65,Produtos!$A$4:$A$103,0))&lt;&gt;"Ativo",TRUE),IFERROR(INDEX(Produtos!$L$4:$L$103,MATCH($C65,Produtos!$A$4:$A$103,0))&lt;&gt;"OK",TRUE),COUNTIF(Regras!$A$4:$A$103,$D65)&lt;&gt;1,IFERROR(INDEX(Regras!$O$4:$O$103,MATCH($D65,Regras!$A$4:$A$103,0))&lt;&gt;"Sim",TRUE),IFERROR(INDEX(Regras!$P$4:$P$103,MATCH($D65,Regras!$A$4:$A$103,0))&lt;&gt;"OK",TRUE),NOT(ISNUMBER($E65)),$E65&lt;=0,NOT(ISNUMBER($F65)),$F65&lt;0,$F65&gt;5,NOT(ISNUMBER($H65)),$H65&lt;0,$H65&lt;&gt;INT($H65),AND($G65&lt;&gt;"",OR(NOT(ISNUMBER($G65)),$G65&lt;=0))),"Revisar","Pronta")))</f>
        <v/>
      </c>
    </row>
    <row r="66">
      <c r="A66" s="16" t="n"/>
      <c r="B66" s="24" t="n"/>
      <c r="C66" s="16" t="n"/>
      <c r="D66" s="16" t="n"/>
      <c r="E66" s="17" t="n"/>
      <c r="F66" s="18" t="n"/>
      <c r="G66" s="17" t="n"/>
      <c r="H66" s="20" t="n"/>
      <c r="I66" s="16" t="n"/>
      <c r="J66" s="17" t="n"/>
      <c r="K66" s="25" t="n"/>
      <c r="L66" s="26">
        <f>IF($C66="","",IFERROR(INDEX(Produtos!$B$4:$B$103,MATCH($C66,Produtos!$A$4:$A$103,0)),""))</f>
        <v/>
      </c>
      <c r="M66" s="26">
        <f>IF($C66="","",IFERROR(INDEX(Produtos!$C$4:$C$103,MATCH($C66,Produtos!$A$4:$A$103,0)),""))</f>
        <v/>
      </c>
      <c r="N66" s="19">
        <f>IF($C66="","",IFERROR(INDEX(Produtos!$D$4:$D$103,MATCH($C66,Produtos!$A$4:$A$103,0)),""))</f>
        <v/>
      </c>
      <c r="O66" s="27">
        <f>IF($C66="","",IFERROR(INDEX(Produtos!$E$4:$E$103,MATCH($C66,Produtos!$A$4:$A$103,0)),""))</f>
        <v/>
      </c>
      <c r="P66" s="19">
        <f>IF($C66="","",IFERROR(INDEX(Produtos!$G$4:$G$103,MATCH($C66,Produtos!$A$4:$A$103,0)),""))</f>
        <v/>
      </c>
      <c r="Q66" s="19">
        <f>IF($C66="","",IFERROR(INDEX(Produtos!$H$4:$H$103,MATCH($C66,Produtos!$A$4:$A$103,0)),""))</f>
        <v/>
      </c>
      <c r="R66" s="19">
        <f>IF($C66="","",IFERROR(INDEX(Produtos!$I$4:$I$103,MATCH($C66,Produtos!$A$4:$A$103,0)),""))</f>
        <v/>
      </c>
      <c r="S66" s="28">
        <f>IF($C66="","",IFERROR(INDEX(Produtos!$J$4:$J$103,MATCH($C66,Produtos!$A$4:$A$103,0)),""))</f>
        <v/>
      </c>
      <c r="T66" s="27">
        <f>IF($AG66&lt;&gt;"Pronta","",IFERROR(IF($F66&lt;=INDEX(Regras!$C$4:$C$103,MATCH($D66,Regras!$A$4:$A$103,0)),INDEX(Regras!$E$4:$E$103,MATCH($D66,Regras!$A$4:$A$103,0)),IF($F66&gt;=INDEX(Regras!$D$4:$D$103,MATCH($D66,Regras!$A$4:$A$103,0)),INDEX(Regras!$F$4:$F$103,MATCH($D66,Regras!$A$4:$A$103,0)),0)),""))</f>
        <v/>
      </c>
      <c r="U66" s="27">
        <f>IF($AG66&lt;&gt;"Pronta","",IFERROR(IF($G66="",0,IF($G66&lt;=$E66*(1-INDEX(Regras!$G$4:$G$103,MATCH($D66,Regras!$A$4:$A$103,0))),INDEX(Regras!$H$4:$H$103,MATCH($D66,Regras!$A$4:$A$103,0)),IF($G66&gt;=$E66*(1+INDEX(Regras!$G$4:$G$103,MATCH($D66,Regras!$A$4:$A$103,0))),INDEX(Regras!$I$4:$I$103,MATCH($D66,Regras!$A$4:$A$103,0)),0))),""))</f>
        <v/>
      </c>
      <c r="V66" s="27">
        <f>IF($AG66&lt;&gt;"Pronta","",IFERROR(IF($H66/$S66&lt;=INDEX(Regras!$J$4:$J$103,MATCH($D66,Regras!$A$4:$A$103,0)),INDEX(Regras!$L$4:$L$103,MATCH($D66,Regras!$A$4:$A$103,0)),IF($H66/$S66&gt;=INDEX(Regras!$K$4:$K$103,MATCH($D66,Regras!$A$4:$A$103,0)),INDEX(Regras!$M$4:$M$103,MATCH($D66,Regras!$A$4:$A$103,0)),0)),""))</f>
        <v/>
      </c>
      <c r="W66" s="27">
        <f>IF($AG66&lt;&gt;"Pronta","",SUM($T66:$V66))</f>
        <v/>
      </c>
      <c r="X66" s="27">
        <f>IF($AG66&lt;&gt;"Pronta","",IFERROR(MAX(-INDEX(Regras!$N$4:$N$103,MATCH($D66,Regras!$A$4:$A$103,0)),MIN(INDEX(Regras!$N$4:$N$103,MATCH($D66,Regras!$A$4:$A$103,0)),$W66)),""))</f>
        <v/>
      </c>
      <c r="Y66" s="19">
        <f>IF($AG66&lt;&gt;"Pronta","",IFERROR(ROUND($E66*(1+$X66),2),""))</f>
        <v/>
      </c>
      <c r="Z66" s="29">
        <f>IF(OR($AG66&lt;&gt;"Pronta",$Q66="",$R66=""),"",IFERROR(ROUND(MIN($R66,MAX($Q66,$Y66)),2),""))</f>
        <v/>
      </c>
      <c r="AA66" s="27">
        <f>IF(OR($E66="",$Z66=""),"",IFERROR($Z66/$E66-1,""))</f>
        <v/>
      </c>
      <c r="AB66" s="26">
        <f>IF($Z66="","",IF($Y66&lt;$Q66,"Piso",IF($Y66&gt;$R66,"Teto","Nenhuma")))</f>
        <v/>
      </c>
      <c r="AC66" s="21">
        <f>IF($A66="","",IF($AG66&lt;&gt;"Pronta","Aguardando dados válidos",_xlfn.TEXTJOIN(" | ",TRUE,IF($T66&gt;0,"Demanda: aumento",IF($T66&lt;0,"Demanda: redução","")),IF($U66&gt;0,"Concorrência: aumento",IF($U66&lt;0,"Concorrência: redução","")),IF($V66&gt;0,"Estoque: aumento",IF($V66&lt;0,"Estoque: redução","")),IF(ABS($W66-$X66)&gt;0.0000001,"Limite da rodada aplicado",""),IF($AB66="Piso","Piso vigente aplicado",IF($AB66="Teto","Teto aplicado","")),IF(AND($T66=0,$U66=0,$V66=0),"Sem gatilho de reajuste",""))))</f>
        <v/>
      </c>
      <c r="AD66" s="21">
        <f>IF(OR($A66="",$AG66&lt;&gt;"Pronta"),"",_xlfn.TEXTJOIN(" | ",TRUE,IF($E66&lt;$Q66,"Preço atual abaixo do piso",""),IF($E66&gt;$R66,"Preço atual acima do teto",""),IF(AND($N66&gt;0,$E66&gt;0,1-$N66/$E66&lt;$O66),"Margem estimada do preço atual abaixo do mínimo",""),IF($G66="","Preço concorrente não informado",""),IF($AB66="Piso","Recomendação travada no piso",""),IF($AB66="Teto","Recomendação travada no teto","")))</f>
        <v/>
      </c>
      <c r="AE66" s="19">
        <f>IF($AG66&lt;&gt;"Pronta","",IF($I66="Aprovar recomendação",$Z66,IF($I66="Manter preço atual",$E66,IF($I66="Definir manualmente",$J66,""))))</f>
        <v/>
      </c>
      <c r="AF66" s="21">
        <f>IF($A66="","",IF($AG66&lt;&gt;"Pronta","Aguardando correção",IF(OR($I66="",$I66="Pendente"),"Decisão pendente",IF(AND($I66="Definir manualmente",OR($J66="",$J66&lt;=0)),"Informe o preço manual",IF(OR($AE66&lt;$Q66,$AE66&gt;$R66),"Preço final fora do piso/teto","OK")))))</f>
        <v/>
      </c>
      <c r="AG66" s="26">
        <f>IF(COUNTA($A66:$K66)=0,"",IF(OR($A66="",$B66="",$C66="",$D66="",$E66="",$F66="",$H66=""),"Incompleta",IF(OR(COUNTIF($A$5:$A$204,$A66)&gt;1,NOT(ISNUMBER($B66)),COUNTIF(Produtos!$A$4:$A$103,$C66)&lt;&gt;1,IFERROR(INDEX(Produtos!$K$4:$K$103,MATCH($C66,Produtos!$A$4:$A$103,0))&lt;&gt;"Ativo",TRUE),IFERROR(INDEX(Produtos!$L$4:$L$103,MATCH($C66,Produtos!$A$4:$A$103,0))&lt;&gt;"OK",TRUE),COUNTIF(Regras!$A$4:$A$103,$D66)&lt;&gt;1,IFERROR(INDEX(Regras!$O$4:$O$103,MATCH($D66,Regras!$A$4:$A$103,0))&lt;&gt;"Sim",TRUE),IFERROR(INDEX(Regras!$P$4:$P$103,MATCH($D66,Regras!$A$4:$A$103,0))&lt;&gt;"OK",TRUE),NOT(ISNUMBER($E66)),$E66&lt;=0,NOT(ISNUMBER($F66)),$F66&lt;0,$F66&gt;5,NOT(ISNUMBER($H66)),$H66&lt;0,$H66&lt;&gt;INT($H66),AND($G66&lt;&gt;"",OR(NOT(ISNUMBER($G66)),$G66&lt;=0))),"Revisar","Pronta")))</f>
        <v/>
      </c>
    </row>
    <row r="67">
      <c r="A67" s="16" t="n"/>
      <c r="B67" s="24" t="n"/>
      <c r="C67" s="16" t="n"/>
      <c r="D67" s="16" t="n"/>
      <c r="E67" s="17" t="n"/>
      <c r="F67" s="18" t="n"/>
      <c r="G67" s="17" t="n"/>
      <c r="H67" s="20" t="n"/>
      <c r="I67" s="16" t="n"/>
      <c r="J67" s="17" t="n"/>
      <c r="K67" s="25" t="n"/>
      <c r="L67" s="26">
        <f>IF($C67="","",IFERROR(INDEX(Produtos!$B$4:$B$103,MATCH($C67,Produtos!$A$4:$A$103,0)),""))</f>
        <v/>
      </c>
      <c r="M67" s="26">
        <f>IF($C67="","",IFERROR(INDEX(Produtos!$C$4:$C$103,MATCH($C67,Produtos!$A$4:$A$103,0)),""))</f>
        <v/>
      </c>
      <c r="N67" s="19">
        <f>IF($C67="","",IFERROR(INDEX(Produtos!$D$4:$D$103,MATCH($C67,Produtos!$A$4:$A$103,0)),""))</f>
        <v/>
      </c>
      <c r="O67" s="27">
        <f>IF($C67="","",IFERROR(INDEX(Produtos!$E$4:$E$103,MATCH($C67,Produtos!$A$4:$A$103,0)),""))</f>
        <v/>
      </c>
      <c r="P67" s="19">
        <f>IF($C67="","",IFERROR(INDEX(Produtos!$G$4:$G$103,MATCH($C67,Produtos!$A$4:$A$103,0)),""))</f>
        <v/>
      </c>
      <c r="Q67" s="19">
        <f>IF($C67="","",IFERROR(INDEX(Produtos!$H$4:$H$103,MATCH($C67,Produtos!$A$4:$A$103,0)),""))</f>
        <v/>
      </c>
      <c r="R67" s="19">
        <f>IF($C67="","",IFERROR(INDEX(Produtos!$I$4:$I$103,MATCH($C67,Produtos!$A$4:$A$103,0)),""))</f>
        <v/>
      </c>
      <c r="S67" s="28">
        <f>IF($C67="","",IFERROR(INDEX(Produtos!$J$4:$J$103,MATCH($C67,Produtos!$A$4:$A$103,0)),""))</f>
        <v/>
      </c>
      <c r="T67" s="27">
        <f>IF($AG67&lt;&gt;"Pronta","",IFERROR(IF($F67&lt;=INDEX(Regras!$C$4:$C$103,MATCH($D67,Regras!$A$4:$A$103,0)),INDEX(Regras!$E$4:$E$103,MATCH($D67,Regras!$A$4:$A$103,0)),IF($F67&gt;=INDEX(Regras!$D$4:$D$103,MATCH($D67,Regras!$A$4:$A$103,0)),INDEX(Regras!$F$4:$F$103,MATCH($D67,Regras!$A$4:$A$103,0)),0)),""))</f>
        <v/>
      </c>
      <c r="U67" s="27">
        <f>IF($AG67&lt;&gt;"Pronta","",IFERROR(IF($G67="",0,IF($G67&lt;=$E67*(1-INDEX(Regras!$G$4:$G$103,MATCH($D67,Regras!$A$4:$A$103,0))),INDEX(Regras!$H$4:$H$103,MATCH($D67,Regras!$A$4:$A$103,0)),IF($G67&gt;=$E67*(1+INDEX(Regras!$G$4:$G$103,MATCH($D67,Regras!$A$4:$A$103,0))),INDEX(Regras!$I$4:$I$103,MATCH($D67,Regras!$A$4:$A$103,0)),0))),""))</f>
        <v/>
      </c>
      <c r="V67" s="27">
        <f>IF($AG67&lt;&gt;"Pronta","",IFERROR(IF($H67/$S67&lt;=INDEX(Regras!$J$4:$J$103,MATCH($D67,Regras!$A$4:$A$103,0)),INDEX(Regras!$L$4:$L$103,MATCH($D67,Regras!$A$4:$A$103,0)),IF($H67/$S67&gt;=INDEX(Regras!$K$4:$K$103,MATCH($D67,Regras!$A$4:$A$103,0)),INDEX(Regras!$M$4:$M$103,MATCH($D67,Regras!$A$4:$A$103,0)),0)),""))</f>
        <v/>
      </c>
      <c r="W67" s="27">
        <f>IF($AG67&lt;&gt;"Pronta","",SUM($T67:$V67))</f>
        <v/>
      </c>
      <c r="X67" s="27">
        <f>IF($AG67&lt;&gt;"Pronta","",IFERROR(MAX(-INDEX(Regras!$N$4:$N$103,MATCH($D67,Regras!$A$4:$A$103,0)),MIN(INDEX(Regras!$N$4:$N$103,MATCH($D67,Regras!$A$4:$A$103,0)),$W67)),""))</f>
        <v/>
      </c>
      <c r="Y67" s="19">
        <f>IF($AG67&lt;&gt;"Pronta","",IFERROR(ROUND($E67*(1+$X67),2),""))</f>
        <v/>
      </c>
      <c r="Z67" s="29">
        <f>IF(OR($AG67&lt;&gt;"Pronta",$Q67="",$R67=""),"",IFERROR(ROUND(MIN($R67,MAX($Q67,$Y67)),2),""))</f>
        <v/>
      </c>
      <c r="AA67" s="27">
        <f>IF(OR($E67="",$Z67=""),"",IFERROR($Z67/$E67-1,""))</f>
        <v/>
      </c>
      <c r="AB67" s="26">
        <f>IF($Z67="","",IF($Y67&lt;$Q67,"Piso",IF($Y67&gt;$R67,"Teto","Nenhuma")))</f>
        <v/>
      </c>
      <c r="AC67" s="21">
        <f>IF($A67="","",IF($AG67&lt;&gt;"Pronta","Aguardando dados válidos",_xlfn.TEXTJOIN(" | ",TRUE,IF($T67&gt;0,"Demanda: aumento",IF($T67&lt;0,"Demanda: redução","")),IF($U67&gt;0,"Concorrência: aumento",IF($U67&lt;0,"Concorrência: redução","")),IF($V67&gt;0,"Estoque: aumento",IF($V67&lt;0,"Estoque: redução","")),IF(ABS($W67-$X67)&gt;0.0000001,"Limite da rodada aplicado",""),IF($AB67="Piso","Piso vigente aplicado",IF($AB67="Teto","Teto aplicado","")),IF(AND($T67=0,$U67=0,$V67=0),"Sem gatilho de reajuste",""))))</f>
        <v/>
      </c>
      <c r="AD67" s="21">
        <f>IF(OR($A67="",$AG67&lt;&gt;"Pronta"),"",_xlfn.TEXTJOIN(" | ",TRUE,IF($E67&lt;$Q67,"Preço atual abaixo do piso",""),IF($E67&gt;$R67,"Preço atual acima do teto",""),IF(AND($N67&gt;0,$E67&gt;0,1-$N67/$E67&lt;$O67),"Margem estimada do preço atual abaixo do mínimo",""),IF($G67="","Preço concorrente não informado",""),IF($AB67="Piso","Recomendação travada no piso",""),IF($AB67="Teto","Recomendação travada no teto","")))</f>
        <v/>
      </c>
      <c r="AE67" s="19">
        <f>IF($AG67&lt;&gt;"Pronta","",IF($I67="Aprovar recomendação",$Z67,IF($I67="Manter preço atual",$E67,IF($I67="Definir manualmente",$J67,""))))</f>
        <v/>
      </c>
      <c r="AF67" s="21">
        <f>IF($A67="","",IF($AG67&lt;&gt;"Pronta","Aguardando correção",IF(OR($I67="",$I67="Pendente"),"Decisão pendente",IF(AND($I67="Definir manualmente",OR($J67="",$J67&lt;=0)),"Informe o preço manual",IF(OR($AE67&lt;$Q67,$AE67&gt;$R67),"Preço final fora do piso/teto","OK")))))</f>
        <v/>
      </c>
      <c r="AG67" s="26">
        <f>IF(COUNTA($A67:$K67)=0,"",IF(OR($A67="",$B67="",$C67="",$D67="",$E67="",$F67="",$H67=""),"Incompleta",IF(OR(COUNTIF($A$5:$A$204,$A67)&gt;1,NOT(ISNUMBER($B67)),COUNTIF(Produtos!$A$4:$A$103,$C67)&lt;&gt;1,IFERROR(INDEX(Produtos!$K$4:$K$103,MATCH($C67,Produtos!$A$4:$A$103,0))&lt;&gt;"Ativo",TRUE),IFERROR(INDEX(Produtos!$L$4:$L$103,MATCH($C67,Produtos!$A$4:$A$103,0))&lt;&gt;"OK",TRUE),COUNTIF(Regras!$A$4:$A$103,$D67)&lt;&gt;1,IFERROR(INDEX(Regras!$O$4:$O$103,MATCH($D67,Regras!$A$4:$A$103,0))&lt;&gt;"Sim",TRUE),IFERROR(INDEX(Regras!$P$4:$P$103,MATCH($D67,Regras!$A$4:$A$103,0))&lt;&gt;"OK",TRUE),NOT(ISNUMBER($E67)),$E67&lt;=0,NOT(ISNUMBER($F67)),$F67&lt;0,$F67&gt;5,NOT(ISNUMBER($H67)),$H67&lt;0,$H67&lt;&gt;INT($H67),AND($G67&lt;&gt;"",OR(NOT(ISNUMBER($G67)),$G67&lt;=0))),"Revisar","Pronta")))</f>
        <v/>
      </c>
    </row>
    <row r="68">
      <c r="A68" s="16" t="n"/>
      <c r="B68" s="24" t="n"/>
      <c r="C68" s="16" t="n"/>
      <c r="D68" s="16" t="n"/>
      <c r="E68" s="17" t="n"/>
      <c r="F68" s="18" t="n"/>
      <c r="G68" s="17" t="n"/>
      <c r="H68" s="20" t="n"/>
      <c r="I68" s="16" t="n"/>
      <c r="J68" s="17" t="n"/>
      <c r="K68" s="25" t="n"/>
      <c r="L68" s="26">
        <f>IF($C68="","",IFERROR(INDEX(Produtos!$B$4:$B$103,MATCH($C68,Produtos!$A$4:$A$103,0)),""))</f>
        <v/>
      </c>
      <c r="M68" s="26">
        <f>IF($C68="","",IFERROR(INDEX(Produtos!$C$4:$C$103,MATCH($C68,Produtos!$A$4:$A$103,0)),""))</f>
        <v/>
      </c>
      <c r="N68" s="19">
        <f>IF($C68="","",IFERROR(INDEX(Produtos!$D$4:$D$103,MATCH($C68,Produtos!$A$4:$A$103,0)),""))</f>
        <v/>
      </c>
      <c r="O68" s="27">
        <f>IF($C68="","",IFERROR(INDEX(Produtos!$E$4:$E$103,MATCH($C68,Produtos!$A$4:$A$103,0)),""))</f>
        <v/>
      </c>
      <c r="P68" s="19">
        <f>IF($C68="","",IFERROR(INDEX(Produtos!$G$4:$G$103,MATCH($C68,Produtos!$A$4:$A$103,0)),""))</f>
        <v/>
      </c>
      <c r="Q68" s="19">
        <f>IF($C68="","",IFERROR(INDEX(Produtos!$H$4:$H$103,MATCH($C68,Produtos!$A$4:$A$103,0)),""))</f>
        <v/>
      </c>
      <c r="R68" s="19">
        <f>IF($C68="","",IFERROR(INDEX(Produtos!$I$4:$I$103,MATCH($C68,Produtos!$A$4:$A$103,0)),""))</f>
        <v/>
      </c>
      <c r="S68" s="28">
        <f>IF($C68="","",IFERROR(INDEX(Produtos!$J$4:$J$103,MATCH($C68,Produtos!$A$4:$A$103,0)),""))</f>
        <v/>
      </c>
      <c r="T68" s="27">
        <f>IF($AG68&lt;&gt;"Pronta","",IFERROR(IF($F68&lt;=INDEX(Regras!$C$4:$C$103,MATCH($D68,Regras!$A$4:$A$103,0)),INDEX(Regras!$E$4:$E$103,MATCH($D68,Regras!$A$4:$A$103,0)),IF($F68&gt;=INDEX(Regras!$D$4:$D$103,MATCH($D68,Regras!$A$4:$A$103,0)),INDEX(Regras!$F$4:$F$103,MATCH($D68,Regras!$A$4:$A$103,0)),0)),""))</f>
        <v/>
      </c>
      <c r="U68" s="27">
        <f>IF($AG68&lt;&gt;"Pronta","",IFERROR(IF($G68="",0,IF($G68&lt;=$E68*(1-INDEX(Regras!$G$4:$G$103,MATCH($D68,Regras!$A$4:$A$103,0))),INDEX(Regras!$H$4:$H$103,MATCH($D68,Regras!$A$4:$A$103,0)),IF($G68&gt;=$E68*(1+INDEX(Regras!$G$4:$G$103,MATCH($D68,Regras!$A$4:$A$103,0))),INDEX(Regras!$I$4:$I$103,MATCH($D68,Regras!$A$4:$A$103,0)),0))),""))</f>
        <v/>
      </c>
      <c r="V68" s="27">
        <f>IF($AG68&lt;&gt;"Pronta","",IFERROR(IF($H68/$S68&lt;=INDEX(Regras!$J$4:$J$103,MATCH($D68,Regras!$A$4:$A$103,0)),INDEX(Regras!$L$4:$L$103,MATCH($D68,Regras!$A$4:$A$103,0)),IF($H68/$S68&gt;=INDEX(Regras!$K$4:$K$103,MATCH($D68,Regras!$A$4:$A$103,0)),INDEX(Regras!$M$4:$M$103,MATCH($D68,Regras!$A$4:$A$103,0)),0)),""))</f>
        <v/>
      </c>
      <c r="W68" s="27">
        <f>IF($AG68&lt;&gt;"Pronta","",SUM($T68:$V68))</f>
        <v/>
      </c>
      <c r="X68" s="27">
        <f>IF($AG68&lt;&gt;"Pronta","",IFERROR(MAX(-INDEX(Regras!$N$4:$N$103,MATCH($D68,Regras!$A$4:$A$103,0)),MIN(INDEX(Regras!$N$4:$N$103,MATCH($D68,Regras!$A$4:$A$103,0)),$W68)),""))</f>
        <v/>
      </c>
      <c r="Y68" s="19">
        <f>IF($AG68&lt;&gt;"Pronta","",IFERROR(ROUND($E68*(1+$X68),2),""))</f>
        <v/>
      </c>
      <c r="Z68" s="29">
        <f>IF(OR($AG68&lt;&gt;"Pronta",$Q68="",$R68=""),"",IFERROR(ROUND(MIN($R68,MAX($Q68,$Y68)),2),""))</f>
        <v/>
      </c>
      <c r="AA68" s="27">
        <f>IF(OR($E68="",$Z68=""),"",IFERROR($Z68/$E68-1,""))</f>
        <v/>
      </c>
      <c r="AB68" s="26">
        <f>IF($Z68="","",IF($Y68&lt;$Q68,"Piso",IF($Y68&gt;$R68,"Teto","Nenhuma")))</f>
        <v/>
      </c>
      <c r="AC68" s="21">
        <f>IF($A68="","",IF($AG68&lt;&gt;"Pronta","Aguardando dados válidos",_xlfn.TEXTJOIN(" | ",TRUE,IF($T68&gt;0,"Demanda: aumento",IF($T68&lt;0,"Demanda: redução","")),IF($U68&gt;0,"Concorrência: aumento",IF($U68&lt;0,"Concorrência: redução","")),IF($V68&gt;0,"Estoque: aumento",IF($V68&lt;0,"Estoque: redução","")),IF(ABS($W68-$X68)&gt;0.0000001,"Limite da rodada aplicado",""),IF($AB68="Piso","Piso vigente aplicado",IF($AB68="Teto","Teto aplicado","")),IF(AND($T68=0,$U68=0,$V68=0),"Sem gatilho de reajuste",""))))</f>
        <v/>
      </c>
      <c r="AD68" s="21">
        <f>IF(OR($A68="",$AG68&lt;&gt;"Pronta"),"",_xlfn.TEXTJOIN(" | ",TRUE,IF($E68&lt;$Q68,"Preço atual abaixo do piso",""),IF($E68&gt;$R68,"Preço atual acima do teto",""),IF(AND($N68&gt;0,$E68&gt;0,1-$N68/$E68&lt;$O68),"Margem estimada do preço atual abaixo do mínimo",""),IF($G68="","Preço concorrente não informado",""),IF($AB68="Piso","Recomendação travada no piso",""),IF($AB68="Teto","Recomendação travada no teto","")))</f>
        <v/>
      </c>
      <c r="AE68" s="19">
        <f>IF($AG68&lt;&gt;"Pronta","",IF($I68="Aprovar recomendação",$Z68,IF($I68="Manter preço atual",$E68,IF($I68="Definir manualmente",$J68,""))))</f>
        <v/>
      </c>
      <c r="AF68" s="21">
        <f>IF($A68="","",IF($AG68&lt;&gt;"Pronta","Aguardando correção",IF(OR($I68="",$I68="Pendente"),"Decisão pendente",IF(AND($I68="Definir manualmente",OR($J68="",$J68&lt;=0)),"Informe o preço manual",IF(OR($AE68&lt;$Q68,$AE68&gt;$R68),"Preço final fora do piso/teto","OK")))))</f>
        <v/>
      </c>
      <c r="AG68" s="26">
        <f>IF(COUNTA($A68:$K68)=0,"",IF(OR($A68="",$B68="",$C68="",$D68="",$E68="",$F68="",$H68=""),"Incompleta",IF(OR(COUNTIF($A$5:$A$204,$A68)&gt;1,NOT(ISNUMBER($B68)),COUNTIF(Produtos!$A$4:$A$103,$C68)&lt;&gt;1,IFERROR(INDEX(Produtos!$K$4:$K$103,MATCH($C68,Produtos!$A$4:$A$103,0))&lt;&gt;"Ativo",TRUE),IFERROR(INDEX(Produtos!$L$4:$L$103,MATCH($C68,Produtos!$A$4:$A$103,0))&lt;&gt;"OK",TRUE),COUNTIF(Regras!$A$4:$A$103,$D68)&lt;&gt;1,IFERROR(INDEX(Regras!$O$4:$O$103,MATCH($D68,Regras!$A$4:$A$103,0))&lt;&gt;"Sim",TRUE),IFERROR(INDEX(Regras!$P$4:$P$103,MATCH($D68,Regras!$A$4:$A$103,0))&lt;&gt;"OK",TRUE),NOT(ISNUMBER($E68)),$E68&lt;=0,NOT(ISNUMBER($F68)),$F68&lt;0,$F68&gt;5,NOT(ISNUMBER($H68)),$H68&lt;0,$H68&lt;&gt;INT($H68),AND($G68&lt;&gt;"",OR(NOT(ISNUMBER($G68)),$G68&lt;=0))),"Revisar","Pronta")))</f>
        <v/>
      </c>
    </row>
    <row r="69">
      <c r="A69" s="16" t="n"/>
      <c r="B69" s="24" t="n"/>
      <c r="C69" s="16" t="n"/>
      <c r="D69" s="16" t="n"/>
      <c r="E69" s="17" t="n"/>
      <c r="F69" s="18" t="n"/>
      <c r="G69" s="17" t="n"/>
      <c r="H69" s="20" t="n"/>
      <c r="I69" s="16" t="n"/>
      <c r="J69" s="17" t="n"/>
      <c r="K69" s="25" t="n"/>
      <c r="L69" s="26">
        <f>IF($C69="","",IFERROR(INDEX(Produtos!$B$4:$B$103,MATCH($C69,Produtos!$A$4:$A$103,0)),""))</f>
        <v/>
      </c>
      <c r="M69" s="26">
        <f>IF($C69="","",IFERROR(INDEX(Produtos!$C$4:$C$103,MATCH($C69,Produtos!$A$4:$A$103,0)),""))</f>
        <v/>
      </c>
      <c r="N69" s="19">
        <f>IF($C69="","",IFERROR(INDEX(Produtos!$D$4:$D$103,MATCH($C69,Produtos!$A$4:$A$103,0)),""))</f>
        <v/>
      </c>
      <c r="O69" s="27">
        <f>IF($C69="","",IFERROR(INDEX(Produtos!$E$4:$E$103,MATCH($C69,Produtos!$A$4:$A$103,0)),""))</f>
        <v/>
      </c>
      <c r="P69" s="19">
        <f>IF($C69="","",IFERROR(INDEX(Produtos!$G$4:$G$103,MATCH($C69,Produtos!$A$4:$A$103,0)),""))</f>
        <v/>
      </c>
      <c r="Q69" s="19">
        <f>IF($C69="","",IFERROR(INDEX(Produtos!$H$4:$H$103,MATCH($C69,Produtos!$A$4:$A$103,0)),""))</f>
        <v/>
      </c>
      <c r="R69" s="19">
        <f>IF($C69="","",IFERROR(INDEX(Produtos!$I$4:$I$103,MATCH($C69,Produtos!$A$4:$A$103,0)),""))</f>
        <v/>
      </c>
      <c r="S69" s="28">
        <f>IF($C69="","",IFERROR(INDEX(Produtos!$J$4:$J$103,MATCH($C69,Produtos!$A$4:$A$103,0)),""))</f>
        <v/>
      </c>
      <c r="T69" s="27">
        <f>IF($AG69&lt;&gt;"Pronta","",IFERROR(IF($F69&lt;=INDEX(Regras!$C$4:$C$103,MATCH($D69,Regras!$A$4:$A$103,0)),INDEX(Regras!$E$4:$E$103,MATCH($D69,Regras!$A$4:$A$103,0)),IF($F69&gt;=INDEX(Regras!$D$4:$D$103,MATCH($D69,Regras!$A$4:$A$103,0)),INDEX(Regras!$F$4:$F$103,MATCH($D69,Regras!$A$4:$A$103,0)),0)),""))</f>
        <v/>
      </c>
      <c r="U69" s="27">
        <f>IF($AG69&lt;&gt;"Pronta","",IFERROR(IF($G69="",0,IF($G69&lt;=$E69*(1-INDEX(Regras!$G$4:$G$103,MATCH($D69,Regras!$A$4:$A$103,0))),INDEX(Regras!$H$4:$H$103,MATCH($D69,Regras!$A$4:$A$103,0)),IF($G69&gt;=$E69*(1+INDEX(Regras!$G$4:$G$103,MATCH($D69,Regras!$A$4:$A$103,0))),INDEX(Regras!$I$4:$I$103,MATCH($D69,Regras!$A$4:$A$103,0)),0))),""))</f>
        <v/>
      </c>
      <c r="V69" s="27">
        <f>IF($AG69&lt;&gt;"Pronta","",IFERROR(IF($H69/$S69&lt;=INDEX(Regras!$J$4:$J$103,MATCH($D69,Regras!$A$4:$A$103,0)),INDEX(Regras!$L$4:$L$103,MATCH($D69,Regras!$A$4:$A$103,0)),IF($H69/$S69&gt;=INDEX(Regras!$K$4:$K$103,MATCH($D69,Regras!$A$4:$A$103,0)),INDEX(Regras!$M$4:$M$103,MATCH($D69,Regras!$A$4:$A$103,0)),0)),""))</f>
        <v/>
      </c>
      <c r="W69" s="27">
        <f>IF($AG69&lt;&gt;"Pronta","",SUM($T69:$V69))</f>
        <v/>
      </c>
      <c r="X69" s="27">
        <f>IF($AG69&lt;&gt;"Pronta","",IFERROR(MAX(-INDEX(Regras!$N$4:$N$103,MATCH($D69,Regras!$A$4:$A$103,0)),MIN(INDEX(Regras!$N$4:$N$103,MATCH($D69,Regras!$A$4:$A$103,0)),$W69)),""))</f>
        <v/>
      </c>
      <c r="Y69" s="19">
        <f>IF($AG69&lt;&gt;"Pronta","",IFERROR(ROUND($E69*(1+$X69),2),""))</f>
        <v/>
      </c>
      <c r="Z69" s="29">
        <f>IF(OR($AG69&lt;&gt;"Pronta",$Q69="",$R69=""),"",IFERROR(ROUND(MIN($R69,MAX($Q69,$Y69)),2),""))</f>
        <v/>
      </c>
      <c r="AA69" s="27">
        <f>IF(OR($E69="",$Z69=""),"",IFERROR($Z69/$E69-1,""))</f>
        <v/>
      </c>
      <c r="AB69" s="26">
        <f>IF($Z69="","",IF($Y69&lt;$Q69,"Piso",IF($Y69&gt;$R69,"Teto","Nenhuma")))</f>
        <v/>
      </c>
      <c r="AC69" s="21">
        <f>IF($A69="","",IF($AG69&lt;&gt;"Pronta","Aguardando dados válidos",_xlfn.TEXTJOIN(" | ",TRUE,IF($T69&gt;0,"Demanda: aumento",IF($T69&lt;0,"Demanda: redução","")),IF($U69&gt;0,"Concorrência: aumento",IF($U69&lt;0,"Concorrência: redução","")),IF($V69&gt;0,"Estoque: aumento",IF($V69&lt;0,"Estoque: redução","")),IF(ABS($W69-$X69)&gt;0.0000001,"Limite da rodada aplicado",""),IF($AB69="Piso","Piso vigente aplicado",IF($AB69="Teto","Teto aplicado","")),IF(AND($T69=0,$U69=0,$V69=0),"Sem gatilho de reajuste",""))))</f>
        <v/>
      </c>
      <c r="AD69" s="21">
        <f>IF(OR($A69="",$AG69&lt;&gt;"Pronta"),"",_xlfn.TEXTJOIN(" | ",TRUE,IF($E69&lt;$Q69,"Preço atual abaixo do piso",""),IF($E69&gt;$R69,"Preço atual acima do teto",""),IF(AND($N69&gt;0,$E69&gt;0,1-$N69/$E69&lt;$O69),"Margem estimada do preço atual abaixo do mínimo",""),IF($G69="","Preço concorrente não informado",""),IF($AB69="Piso","Recomendação travada no piso",""),IF($AB69="Teto","Recomendação travada no teto","")))</f>
        <v/>
      </c>
      <c r="AE69" s="19">
        <f>IF($AG69&lt;&gt;"Pronta","",IF($I69="Aprovar recomendação",$Z69,IF($I69="Manter preço atual",$E69,IF($I69="Definir manualmente",$J69,""))))</f>
        <v/>
      </c>
      <c r="AF69" s="21">
        <f>IF($A69="","",IF($AG69&lt;&gt;"Pronta","Aguardando correção",IF(OR($I69="",$I69="Pendente"),"Decisão pendente",IF(AND($I69="Definir manualmente",OR($J69="",$J69&lt;=0)),"Informe o preço manual",IF(OR($AE69&lt;$Q69,$AE69&gt;$R69),"Preço final fora do piso/teto","OK")))))</f>
        <v/>
      </c>
      <c r="AG69" s="26">
        <f>IF(COUNTA($A69:$K69)=0,"",IF(OR($A69="",$B69="",$C69="",$D69="",$E69="",$F69="",$H69=""),"Incompleta",IF(OR(COUNTIF($A$5:$A$204,$A69)&gt;1,NOT(ISNUMBER($B69)),COUNTIF(Produtos!$A$4:$A$103,$C69)&lt;&gt;1,IFERROR(INDEX(Produtos!$K$4:$K$103,MATCH($C69,Produtos!$A$4:$A$103,0))&lt;&gt;"Ativo",TRUE),IFERROR(INDEX(Produtos!$L$4:$L$103,MATCH($C69,Produtos!$A$4:$A$103,0))&lt;&gt;"OK",TRUE),COUNTIF(Regras!$A$4:$A$103,$D69)&lt;&gt;1,IFERROR(INDEX(Regras!$O$4:$O$103,MATCH($D69,Regras!$A$4:$A$103,0))&lt;&gt;"Sim",TRUE),IFERROR(INDEX(Regras!$P$4:$P$103,MATCH($D69,Regras!$A$4:$A$103,0))&lt;&gt;"OK",TRUE),NOT(ISNUMBER($E69)),$E69&lt;=0,NOT(ISNUMBER($F69)),$F69&lt;0,$F69&gt;5,NOT(ISNUMBER($H69)),$H69&lt;0,$H69&lt;&gt;INT($H69),AND($G69&lt;&gt;"",OR(NOT(ISNUMBER($G69)),$G69&lt;=0))),"Revisar","Pronta")))</f>
        <v/>
      </c>
    </row>
    <row r="70">
      <c r="A70" s="16" t="n"/>
      <c r="B70" s="24" t="n"/>
      <c r="C70" s="16" t="n"/>
      <c r="D70" s="16" t="n"/>
      <c r="E70" s="17" t="n"/>
      <c r="F70" s="18" t="n"/>
      <c r="G70" s="17" t="n"/>
      <c r="H70" s="20" t="n"/>
      <c r="I70" s="16" t="n"/>
      <c r="J70" s="17" t="n"/>
      <c r="K70" s="25" t="n"/>
      <c r="L70" s="26">
        <f>IF($C70="","",IFERROR(INDEX(Produtos!$B$4:$B$103,MATCH($C70,Produtos!$A$4:$A$103,0)),""))</f>
        <v/>
      </c>
      <c r="M70" s="26">
        <f>IF($C70="","",IFERROR(INDEX(Produtos!$C$4:$C$103,MATCH($C70,Produtos!$A$4:$A$103,0)),""))</f>
        <v/>
      </c>
      <c r="N70" s="19">
        <f>IF($C70="","",IFERROR(INDEX(Produtos!$D$4:$D$103,MATCH($C70,Produtos!$A$4:$A$103,0)),""))</f>
        <v/>
      </c>
      <c r="O70" s="27">
        <f>IF($C70="","",IFERROR(INDEX(Produtos!$E$4:$E$103,MATCH($C70,Produtos!$A$4:$A$103,0)),""))</f>
        <v/>
      </c>
      <c r="P70" s="19">
        <f>IF($C70="","",IFERROR(INDEX(Produtos!$G$4:$G$103,MATCH($C70,Produtos!$A$4:$A$103,0)),""))</f>
        <v/>
      </c>
      <c r="Q70" s="19">
        <f>IF($C70="","",IFERROR(INDEX(Produtos!$H$4:$H$103,MATCH($C70,Produtos!$A$4:$A$103,0)),""))</f>
        <v/>
      </c>
      <c r="R70" s="19">
        <f>IF($C70="","",IFERROR(INDEX(Produtos!$I$4:$I$103,MATCH($C70,Produtos!$A$4:$A$103,0)),""))</f>
        <v/>
      </c>
      <c r="S70" s="28">
        <f>IF($C70="","",IFERROR(INDEX(Produtos!$J$4:$J$103,MATCH($C70,Produtos!$A$4:$A$103,0)),""))</f>
        <v/>
      </c>
      <c r="T70" s="27">
        <f>IF($AG70&lt;&gt;"Pronta","",IFERROR(IF($F70&lt;=INDEX(Regras!$C$4:$C$103,MATCH($D70,Regras!$A$4:$A$103,0)),INDEX(Regras!$E$4:$E$103,MATCH($D70,Regras!$A$4:$A$103,0)),IF($F70&gt;=INDEX(Regras!$D$4:$D$103,MATCH($D70,Regras!$A$4:$A$103,0)),INDEX(Regras!$F$4:$F$103,MATCH($D70,Regras!$A$4:$A$103,0)),0)),""))</f>
        <v/>
      </c>
      <c r="U70" s="27">
        <f>IF($AG70&lt;&gt;"Pronta","",IFERROR(IF($G70="",0,IF($G70&lt;=$E70*(1-INDEX(Regras!$G$4:$G$103,MATCH($D70,Regras!$A$4:$A$103,0))),INDEX(Regras!$H$4:$H$103,MATCH($D70,Regras!$A$4:$A$103,0)),IF($G70&gt;=$E70*(1+INDEX(Regras!$G$4:$G$103,MATCH($D70,Regras!$A$4:$A$103,0))),INDEX(Regras!$I$4:$I$103,MATCH($D70,Regras!$A$4:$A$103,0)),0))),""))</f>
        <v/>
      </c>
      <c r="V70" s="27">
        <f>IF($AG70&lt;&gt;"Pronta","",IFERROR(IF($H70/$S70&lt;=INDEX(Regras!$J$4:$J$103,MATCH($D70,Regras!$A$4:$A$103,0)),INDEX(Regras!$L$4:$L$103,MATCH($D70,Regras!$A$4:$A$103,0)),IF($H70/$S70&gt;=INDEX(Regras!$K$4:$K$103,MATCH($D70,Regras!$A$4:$A$103,0)),INDEX(Regras!$M$4:$M$103,MATCH($D70,Regras!$A$4:$A$103,0)),0)),""))</f>
        <v/>
      </c>
      <c r="W70" s="27">
        <f>IF($AG70&lt;&gt;"Pronta","",SUM($T70:$V70))</f>
        <v/>
      </c>
      <c r="X70" s="27">
        <f>IF($AG70&lt;&gt;"Pronta","",IFERROR(MAX(-INDEX(Regras!$N$4:$N$103,MATCH($D70,Regras!$A$4:$A$103,0)),MIN(INDEX(Regras!$N$4:$N$103,MATCH($D70,Regras!$A$4:$A$103,0)),$W70)),""))</f>
        <v/>
      </c>
      <c r="Y70" s="19">
        <f>IF($AG70&lt;&gt;"Pronta","",IFERROR(ROUND($E70*(1+$X70),2),""))</f>
        <v/>
      </c>
      <c r="Z70" s="29">
        <f>IF(OR($AG70&lt;&gt;"Pronta",$Q70="",$R70=""),"",IFERROR(ROUND(MIN($R70,MAX($Q70,$Y70)),2),""))</f>
        <v/>
      </c>
      <c r="AA70" s="27">
        <f>IF(OR($E70="",$Z70=""),"",IFERROR($Z70/$E70-1,""))</f>
        <v/>
      </c>
      <c r="AB70" s="26">
        <f>IF($Z70="","",IF($Y70&lt;$Q70,"Piso",IF($Y70&gt;$R70,"Teto","Nenhuma")))</f>
        <v/>
      </c>
      <c r="AC70" s="21">
        <f>IF($A70="","",IF($AG70&lt;&gt;"Pronta","Aguardando dados válidos",_xlfn.TEXTJOIN(" | ",TRUE,IF($T70&gt;0,"Demanda: aumento",IF($T70&lt;0,"Demanda: redução","")),IF($U70&gt;0,"Concorrência: aumento",IF($U70&lt;0,"Concorrência: redução","")),IF($V70&gt;0,"Estoque: aumento",IF($V70&lt;0,"Estoque: redução","")),IF(ABS($W70-$X70)&gt;0.0000001,"Limite da rodada aplicado",""),IF($AB70="Piso","Piso vigente aplicado",IF($AB70="Teto","Teto aplicado","")),IF(AND($T70=0,$U70=0,$V70=0),"Sem gatilho de reajuste",""))))</f>
        <v/>
      </c>
      <c r="AD70" s="21">
        <f>IF(OR($A70="",$AG70&lt;&gt;"Pronta"),"",_xlfn.TEXTJOIN(" | ",TRUE,IF($E70&lt;$Q70,"Preço atual abaixo do piso",""),IF($E70&gt;$R70,"Preço atual acima do teto",""),IF(AND($N70&gt;0,$E70&gt;0,1-$N70/$E70&lt;$O70),"Margem estimada do preço atual abaixo do mínimo",""),IF($G70="","Preço concorrente não informado",""),IF($AB70="Piso","Recomendação travada no piso",""),IF($AB70="Teto","Recomendação travada no teto","")))</f>
        <v/>
      </c>
      <c r="AE70" s="19">
        <f>IF($AG70&lt;&gt;"Pronta","",IF($I70="Aprovar recomendação",$Z70,IF($I70="Manter preço atual",$E70,IF($I70="Definir manualmente",$J70,""))))</f>
        <v/>
      </c>
      <c r="AF70" s="21">
        <f>IF($A70="","",IF($AG70&lt;&gt;"Pronta","Aguardando correção",IF(OR($I70="",$I70="Pendente"),"Decisão pendente",IF(AND($I70="Definir manualmente",OR($J70="",$J70&lt;=0)),"Informe o preço manual",IF(OR($AE70&lt;$Q70,$AE70&gt;$R70),"Preço final fora do piso/teto","OK")))))</f>
        <v/>
      </c>
      <c r="AG70" s="26">
        <f>IF(COUNTA($A70:$K70)=0,"",IF(OR($A70="",$B70="",$C70="",$D70="",$E70="",$F70="",$H70=""),"Incompleta",IF(OR(COUNTIF($A$5:$A$204,$A70)&gt;1,NOT(ISNUMBER($B70)),COUNTIF(Produtos!$A$4:$A$103,$C70)&lt;&gt;1,IFERROR(INDEX(Produtos!$K$4:$K$103,MATCH($C70,Produtos!$A$4:$A$103,0))&lt;&gt;"Ativo",TRUE),IFERROR(INDEX(Produtos!$L$4:$L$103,MATCH($C70,Produtos!$A$4:$A$103,0))&lt;&gt;"OK",TRUE),COUNTIF(Regras!$A$4:$A$103,$D70)&lt;&gt;1,IFERROR(INDEX(Regras!$O$4:$O$103,MATCH($D70,Regras!$A$4:$A$103,0))&lt;&gt;"Sim",TRUE),IFERROR(INDEX(Regras!$P$4:$P$103,MATCH($D70,Regras!$A$4:$A$103,0))&lt;&gt;"OK",TRUE),NOT(ISNUMBER($E70)),$E70&lt;=0,NOT(ISNUMBER($F70)),$F70&lt;0,$F70&gt;5,NOT(ISNUMBER($H70)),$H70&lt;0,$H70&lt;&gt;INT($H70),AND($G70&lt;&gt;"",OR(NOT(ISNUMBER($G70)),$G70&lt;=0))),"Revisar","Pronta")))</f>
        <v/>
      </c>
    </row>
    <row r="71">
      <c r="A71" s="16" t="n"/>
      <c r="B71" s="24" t="n"/>
      <c r="C71" s="16" t="n"/>
      <c r="D71" s="16" t="n"/>
      <c r="E71" s="17" t="n"/>
      <c r="F71" s="18" t="n"/>
      <c r="G71" s="17" t="n"/>
      <c r="H71" s="20" t="n"/>
      <c r="I71" s="16" t="n"/>
      <c r="J71" s="17" t="n"/>
      <c r="K71" s="25" t="n"/>
      <c r="L71" s="26">
        <f>IF($C71="","",IFERROR(INDEX(Produtos!$B$4:$B$103,MATCH($C71,Produtos!$A$4:$A$103,0)),""))</f>
        <v/>
      </c>
      <c r="M71" s="26">
        <f>IF($C71="","",IFERROR(INDEX(Produtos!$C$4:$C$103,MATCH($C71,Produtos!$A$4:$A$103,0)),""))</f>
        <v/>
      </c>
      <c r="N71" s="19">
        <f>IF($C71="","",IFERROR(INDEX(Produtos!$D$4:$D$103,MATCH($C71,Produtos!$A$4:$A$103,0)),""))</f>
        <v/>
      </c>
      <c r="O71" s="27">
        <f>IF($C71="","",IFERROR(INDEX(Produtos!$E$4:$E$103,MATCH($C71,Produtos!$A$4:$A$103,0)),""))</f>
        <v/>
      </c>
      <c r="P71" s="19">
        <f>IF($C71="","",IFERROR(INDEX(Produtos!$G$4:$G$103,MATCH($C71,Produtos!$A$4:$A$103,0)),""))</f>
        <v/>
      </c>
      <c r="Q71" s="19">
        <f>IF($C71="","",IFERROR(INDEX(Produtos!$H$4:$H$103,MATCH($C71,Produtos!$A$4:$A$103,0)),""))</f>
        <v/>
      </c>
      <c r="R71" s="19">
        <f>IF($C71="","",IFERROR(INDEX(Produtos!$I$4:$I$103,MATCH($C71,Produtos!$A$4:$A$103,0)),""))</f>
        <v/>
      </c>
      <c r="S71" s="28">
        <f>IF($C71="","",IFERROR(INDEX(Produtos!$J$4:$J$103,MATCH($C71,Produtos!$A$4:$A$103,0)),""))</f>
        <v/>
      </c>
      <c r="T71" s="27">
        <f>IF($AG71&lt;&gt;"Pronta","",IFERROR(IF($F71&lt;=INDEX(Regras!$C$4:$C$103,MATCH($D71,Regras!$A$4:$A$103,0)),INDEX(Regras!$E$4:$E$103,MATCH($D71,Regras!$A$4:$A$103,0)),IF($F71&gt;=INDEX(Regras!$D$4:$D$103,MATCH($D71,Regras!$A$4:$A$103,0)),INDEX(Regras!$F$4:$F$103,MATCH($D71,Regras!$A$4:$A$103,0)),0)),""))</f>
        <v/>
      </c>
      <c r="U71" s="27">
        <f>IF($AG71&lt;&gt;"Pronta","",IFERROR(IF($G71="",0,IF($G71&lt;=$E71*(1-INDEX(Regras!$G$4:$G$103,MATCH($D71,Regras!$A$4:$A$103,0))),INDEX(Regras!$H$4:$H$103,MATCH($D71,Regras!$A$4:$A$103,0)),IF($G71&gt;=$E71*(1+INDEX(Regras!$G$4:$G$103,MATCH($D71,Regras!$A$4:$A$103,0))),INDEX(Regras!$I$4:$I$103,MATCH($D71,Regras!$A$4:$A$103,0)),0))),""))</f>
        <v/>
      </c>
      <c r="V71" s="27">
        <f>IF($AG71&lt;&gt;"Pronta","",IFERROR(IF($H71/$S71&lt;=INDEX(Regras!$J$4:$J$103,MATCH($D71,Regras!$A$4:$A$103,0)),INDEX(Regras!$L$4:$L$103,MATCH($D71,Regras!$A$4:$A$103,0)),IF($H71/$S71&gt;=INDEX(Regras!$K$4:$K$103,MATCH($D71,Regras!$A$4:$A$103,0)),INDEX(Regras!$M$4:$M$103,MATCH($D71,Regras!$A$4:$A$103,0)),0)),""))</f>
        <v/>
      </c>
      <c r="W71" s="27">
        <f>IF($AG71&lt;&gt;"Pronta","",SUM($T71:$V71))</f>
        <v/>
      </c>
      <c r="X71" s="27">
        <f>IF($AG71&lt;&gt;"Pronta","",IFERROR(MAX(-INDEX(Regras!$N$4:$N$103,MATCH($D71,Regras!$A$4:$A$103,0)),MIN(INDEX(Regras!$N$4:$N$103,MATCH($D71,Regras!$A$4:$A$103,0)),$W71)),""))</f>
        <v/>
      </c>
      <c r="Y71" s="19">
        <f>IF($AG71&lt;&gt;"Pronta","",IFERROR(ROUND($E71*(1+$X71),2),""))</f>
        <v/>
      </c>
      <c r="Z71" s="29">
        <f>IF(OR($AG71&lt;&gt;"Pronta",$Q71="",$R71=""),"",IFERROR(ROUND(MIN($R71,MAX($Q71,$Y71)),2),""))</f>
        <v/>
      </c>
      <c r="AA71" s="27">
        <f>IF(OR($E71="",$Z71=""),"",IFERROR($Z71/$E71-1,""))</f>
        <v/>
      </c>
      <c r="AB71" s="26">
        <f>IF($Z71="","",IF($Y71&lt;$Q71,"Piso",IF($Y71&gt;$R71,"Teto","Nenhuma")))</f>
        <v/>
      </c>
      <c r="AC71" s="21">
        <f>IF($A71="","",IF($AG71&lt;&gt;"Pronta","Aguardando dados válidos",_xlfn.TEXTJOIN(" | ",TRUE,IF($T71&gt;0,"Demanda: aumento",IF($T71&lt;0,"Demanda: redução","")),IF($U71&gt;0,"Concorrência: aumento",IF($U71&lt;0,"Concorrência: redução","")),IF($V71&gt;0,"Estoque: aumento",IF($V71&lt;0,"Estoque: redução","")),IF(ABS($W71-$X71)&gt;0.0000001,"Limite da rodada aplicado",""),IF($AB71="Piso","Piso vigente aplicado",IF($AB71="Teto","Teto aplicado","")),IF(AND($T71=0,$U71=0,$V71=0),"Sem gatilho de reajuste",""))))</f>
        <v/>
      </c>
      <c r="AD71" s="21">
        <f>IF(OR($A71="",$AG71&lt;&gt;"Pronta"),"",_xlfn.TEXTJOIN(" | ",TRUE,IF($E71&lt;$Q71,"Preço atual abaixo do piso",""),IF($E71&gt;$R71,"Preço atual acima do teto",""),IF(AND($N71&gt;0,$E71&gt;0,1-$N71/$E71&lt;$O71),"Margem estimada do preço atual abaixo do mínimo",""),IF($G71="","Preço concorrente não informado",""),IF($AB71="Piso","Recomendação travada no piso",""),IF($AB71="Teto","Recomendação travada no teto","")))</f>
        <v/>
      </c>
      <c r="AE71" s="19">
        <f>IF($AG71&lt;&gt;"Pronta","",IF($I71="Aprovar recomendação",$Z71,IF($I71="Manter preço atual",$E71,IF($I71="Definir manualmente",$J71,""))))</f>
        <v/>
      </c>
      <c r="AF71" s="21">
        <f>IF($A71="","",IF($AG71&lt;&gt;"Pronta","Aguardando correção",IF(OR($I71="",$I71="Pendente"),"Decisão pendente",IF(AND($I71="Definir manualmente",OR($J71="",$J71&lt;=0)),"Informe o preço manual",IF(OR($AE71&lt;$Q71,$AE71&gt;$R71),"Preço final fora do piso/teto","OK")))))</f>
        <v/>
      </c>
      <c r="AG71" s="26">
        <f>IF(COUNTA($A71:$K71)=0,"",IF(OR($A71="",$B71="",$C71="",$D71="",$E71="",$F71="",$H71=""),"Incompleta",IF(OR(COUNTIF($A$5:$A$204,$A71)&gt;1,NOT(ISNUMBER($B71)),COUNTIF(Produtos!$A$4:$A$103,$C71)&lt;&gt;1,IFERROR(INDEX(Produtos!$K$4:$K$103,MATCH($C71,Produtos!$A$4:$A$103,0))&lt;&gt;"Ativo",TRUE),IFERROR(INDEX(Produtos!$L$4:$L$103,MATCH($C71,Produtos!$A$4:$A$103,0))&lt;&gt;"OK",TRUE),COUNTIF(Regras!$A$4:$A$103,$D71)&lt;&gt;1,IFERROR(INDEX(Regras!$O$4:$O$103,MATCH($D71,Regras!$A$4:$A$103,0))&lt;&gt;"Sim",TRUE),IFERROR(INDEX(Regras!$P$4:$P$103,MATCH($D71,Regras!$A$4:$A$103,0))&lt;&gt;"OK",TRUE),NOT(ISNUMBER($E71)),$E71&lt;=0,NOT(ISNUMBER($F71)),$F71&lt;0,$F71&gt;5,NOT(ISNUMBER($H71)),$H71&lt;0,$H71&lt;&gt;INT($H71),AND($G71&lt;&gt;"",OR(NOT(ISNUMBER($G71)),$G71&lt;=0))),"Revisar","Pronta")))</f>
        <v/>
      </c>
    </row>
    <row r="72">
      <c r="A72" s="16" t="n"/>
      <c r="B72" s="24" t="n"/>
      <c r="C72" s="16" t="n"/>
      <c r="D72" s="16" t="n"/>
      <c r="E72" s="17" t="n"/>
      <c r="F72" s="18" t="n"/>
      <c r="G72" s="17" t="n"/>
      <c r="H72" s="20" t="n"/>
      <c r="I72" s="16" t="n"/>
      <c r="J72" s="17" t="n"/>
      <c r="K72" s="25" t="n"/>
      <c r="L72" s="26">
        <f>IF($C72="","",IFERROR(INDEX(Produtos!$B$4:$B$103,MATCH($C72,Produtos!$A$4:$A$103,0)),""))</f>
        <v/>
      </c>
      <c r="M72" s="26">
        <f>IF($C72="","",IFERROR(INDEX(Produtos!$C$4:$C$103,MATCH($C72,Produtos!$A$4:$A$103,0)),""))</f>
        <v/>
      </c>
      <c r="N72" s="19">
        <f>IF($C72="","",IFERROR(INDEX(Produtos!$D$4:$D$103,MATCH($C72,Produtos!$A$4:$A$103,0)),""))</f>
        <v/>
      </c>
      <c r="O72" s="27">
        <f>IF($C72="","",IFERROR(INDEX(Produtos!$E$4:$E$103,MATCH($C72,Produtos!$A$4:$A$103,0)),""))</f>
        <v/>
      </c>
      <c r="P72" s="19">
        <f>IF($C72="","",IFERROR(INDEX(Produtos!$G$4:$G$103,MATCH($C72,Produtos!$A$4:$A$103,0)),""))</f>
        <v/>
      </c>
      <c r="Q72" s="19">
        <f>IF($C72="","",IFERROR(INDEX(Produtos!$H$4:$H$103,MATCH($C72,Produtos!$A$4:$A$103,0)),""))</f>
        <v/>
      </c>
      <c r="R72" s="19">
        <f>IF($C72="","",IFERROR(INDEX(Produtos!$I$4:$I$103,MATCH($C72,Produtos!$A$4:$A$103,0)),""))</f>
        <v/>
      </c>
      <c r="S72" s="28">
        <f>IF($C72="","",IFERROR(INDEX(Produtos!$J$4:$J$103,MATCH($C72,Produtos!$A$4:$A$103,0)),""))</f>
        <v/>
      </c>
      <c r="T72" s="27">
        <f>IF($AG72&lt;&gt;"Pronta","",IFERROR(IF($F72&lt;=INDEX(Regras!$C$4:$C$103,MATCH($D72,Regras!$A$4:$A$103,0)),INDEX(Regras!$E$4:$E$103,MATCH($D72,Regras!$A$4:$A$103,0)),IF($F72&gt;=INDEX(Regras!$D$4:$D$103,MATCH($D72,Regras!$A$4:$A$103,0)),INDEX(Regras!$F$4:$F$103,MATCH($D72,Regras!$A$4:$A$103,0)),0)),""))</f>
        <v/>
      </c>
      <c r="U72" s="27">
        <f>IF($AG72&lt;&gt;"Pronta","",IFERROR(IF($G72="",0,IF($G72&lt;=$E72*(1-INDEX(Regras!$G$4:$G$103,MATCH($D72,Regras!$A$4:$A$103,0))),INDEX(Regras!$H$4:$H$103,MATCH($D72,Regras!$A$4:$A$103,0)),IF($G72&gt;=$E72*(1+INDEX(Regras!$G$4:$G$103,MATCH($D72,Regras!$A$4:$A$103,0))),INDEX(Regras!$I$4:$I$103,MATCH($D72,Regras!$A$4:$A$103,0)),0))),""))</f>
        <v/>
      </c>
      <c r="V72" s="27">
        <f>IF($AG72&lt;&gt;"Pronta","",IFERROR(IF($H72/$S72&lt;=INDEX(Regras!$J$4:$J$103,MATCH($D72,Regras!$A$4:$A$103,0)),INDEX(Regras!$L$4:$L$103,MATCH($D72,Regras!$A$4:$A$103,0)),IF($H72/$S72&gt;=INDEX(Regras!$K$4:$K$103,MATCH($D72,Regras!$A$4:$A$103,0)),INDEX(Regras!$M$4:$M$103,MATCH($D72,Regras!$A$4:$A$103,0)),0)),""))</f>
        <v/>
      </c>
      <c r="W72" s="27">
        <f>IF($AG72&lt;&gt;"Pronta","",SUM($T72:$V72))</f>
        <v/>
      </c>
      <c r="X72" s="27">
        <f>IF($AG72&lt;&gt;"Pronta","",IFERROR(MAX(-INDEX(Regras!$N$4:$N$103,MATCH($D72,Regras!$A$4:$A$103,0)),MIN(INDEX(Regras!$N$4:$N$103,MATCH($D72,Regras!$A$4:$A$103,0)),$W72)),""))</f>
        <v/>
      </c>
      <c r="Y72" s="19">
        <f>IF($AG72&lt;&gt;"Pronta","",IFERROR(ROUND($E72*(1+$X72),2),""))</f>
        <v/>
      </c>
      <c r="Z72" s="29">
        <f>IF(OR($AG72&lt;&gt;"Pronta",$Q72="",$R72=""),"",IFERROR(ROUND(MIN($R72,MAX($Q72,$Y72)),2),""))</f>
        <v/>
      </c>
      <c r="AA72" s="27">
        <f>IF(OR($E72="",$Z72=""),"",IFERROR($Z72/$E72-1,""))</f>
        <v/>
      </c>
      <c r="AB72" s="26">
        <f>IF($Z72="","",IF($Y72&lt;$Q72,"Piso",IF($Y72&gt;$R72,"Teto","Nenhuma")))</f>
        <v/>
      </c>
      <c r="AC72" s="21">
        <f>IF($A72="","",IF($AG72&lt;&gt;"Pronta","Aguardando dados válidos",_xlfn.TEXTJOIN(" | ",TRUE,IF($T72&gt;0,"Demanda: aumento",IF($T72&lt;0,"Demanda: redução","")),IF($U72&gt;0,"Concorrência: aumento",IF($U72&lt;0,"Concorrência: redução","")),IF($V72&gt;0,"Estoque: aumento",IF($V72&lt;0,"Estoque: redução","")),IF(ABS($W72-$X72)&gt;0.0000001,"Limite da rodada aplicado",""),IF($AB72="Piso","Piso vigente aplicado",IF($AB72="Teto","Teto aplicado","")),IF(AND($T72=0,$U72=0,$V72=0),"Sem gatilho de reajuste",""))))</f>
        <v/>
      </c>
      <c r="AD72" s="21">
        <f>IF(OR($A72="",$AG72&lt;&gt;"Pronta"),"",_xlfn.TEXTJOIN(" | ",TRUE,IF($E72&lt;$Q72,"Preço atual abaixo do piso",""),IF($E72&gt;$R72,"Preço atual acima do teto",""),IF(AND($N72&gt;0,$E72&gt;0,1-$N72/$E72&lt;$O72),"Margem estimada do preço atual abaixo do mínimo",""),IF($G72="","Preço concorrente não informado",""),IF($AB72="Piso","Recomendação travada no piso",""),IF($AB72="Teto","Recomendação travada no teto","")))</f>
        <v/>
      </c>
      <c r="AE72" s="19">
        <f>IF($AG72&lt;&gt;"Pronta","",IF($I72="Aprovar recomendação",$Z72,IF($I72="Manter preço atual",$E72,IF($I72="Definir manualmente",$J72,""))))</f>
        <v/>
      </c>
      <c r="AF72" s="21">
        <f>IF($A72="","",IF($AG72&lt;&gt;"Pronta","Aguardando correção",IF(OR($I72="",$I72="Pendente"),"Decisão pendente",IF(AND($I72="Definir manualmente",OR($J72="",$J72&lt;=0)),"Informe o preço manual",IF(OR($AE72&lt;$Q72,$AE72&gt;$R72),"Preço final fora do piso/teto","OK")))))</f>
        <v/>
      </c>
      <c r="AG72" s="26">
        <f>IF(COUNTA($A72:$K72)=0,"",IF(OR($A72="",$B72="",$C72="",$D72="",$E72="",$F72="",$H72=""),"Incompleta",IF(OR(COUNTIF($A$5:$A$204,$A72)&gt;1,NOT(ISNUMBER($B72)),COUNTIF(Produtos!$A$4:$A$103,$C72)&lt;&gt;1,IFERROR(INDEX(Produtos!$K$4:$K$103,MATCH($C72,Produtos!$A$4:$A$103,0))&lt;&gt;"Ativo",TRUE),IFERROR(INDEX(Produtos!$L$4:$L$103,MATCH($C72,Produtos!$A$4:$A$103,0))&lt;&gt;"OK",TRUE),COUNTIF(Regras!$A$4:$A$103,$D72)&lt;&gt;1,IFERROR(INDEX(Regras!$O$4:$O$103,MATCH($D72,Regras!$A$4:$A$103,0))&lt;&gt;"Sim",TRUE),IFERROR(INDEX(Regras!$P$4:$P$103,MATCH($D72,Regras!$A$4:$A$103,0))&lt;&gt;"OK",TRUE),NOT(ISNUMBER($E72)),$E72&lt;=0,NOT(ISNUMBER($F72)),$F72&lt;0,$F72&gt;5,NOT(ISNUMBER($H72)),$H72&lt;0,$H72&lt;&gt;INT($H72),AND($G72&lt;&gt;"",OR(NOT(ISNUMBER($G72)),$G72&lt;=0))),"Revisar","Pronta")))</f>
        <v/>
      </c>
    </row>
    <row r="73">
      <c r="A73" s="16" t="n"/>
      <c r="B73" s="24" t="n"/>
      <c r="C73" s="16" t="n"/>
      <c r="D73" s="16" t="n"/>
      <c r="E73" s="17" t="n"/>
      <c r="F73" s="18" t="n"/>
      <c r="G73" s="17" t="n"/>
      <c r="H73" s="20" t="n"/>
      <c r="I73" s="16" t="n"/>
      <c r="J73" s="17" t="n"/>
      <c r="K73" s="25" t="n"/>
      <c r="L73" s="26">
        <f>IF($C73="","",IFERROR(INDEX(Produtos!$B$4:$B$103,MATCH($C73,Produtos!$A$4:$A$103,0)),""))</f>
        <v/>
      </c>
      <c r="M73" s="26">
        <f>IF($C73="","",IFERROR(INDEX(Produtos!$C$4:$C$103,MATCH($C73,Produtos!$A$4:$A$103,0)),""))</f>
        <v/>
      </c>
      <c r="N73" s="19">
        <f>IF($C73="","",IFERROR(INDEX(Produtos!$D$4:$D$103,MATCH($C73,Produtos!$A$4:$A$103,0)),""))</f>
        <v/>
      </c>
      <c r="O73" s="27">
        <f>IF($C73="","",IFERROR(INDEX(Produtos!$E$4:$E$103,MATCH($C73,Produtos!$A$4:$A$103,0)),""))</f>
        <v/>
      </c>
      <c r="P73" s="19">
        <f>IF($C73="","",IFERROR(INDEX(Produtos!$G$4:$G$103,MATCH($C73,Produtos!$A$4:$A$103,0)),""))</f>
        <v/>
      </c>
      <c r="Q73" s="19">
        <f>IF($C73="","",IFERROR(INDEX(Produtos!$H$4:$H$103,MATCH($C73,Produtos!$A$4:$A$103,0)),""))</f>
        <v/>
      </c>
      <c r="R73" s="19">
        <f>IF($C73="","",IFERROR(INDEX(Produtos!$I$4:$I$103,MATCH($C73,Produtos!$A$4:$A$103,0)),""))</f>
        <v/>
      </c>
      <c r="S73" s="28">
        <f>IF($C73="","",IFERROR(INDEX(Produtos!$J$4:$J$103,MATCH($C73,Produtos!$A$4:$A$103,0)),""))</f>
        <v/>
      </c>
      <c r="T73" s="27">
        <f>IF($AG73&lt;&gt;"Pronta","",IFERROR(IF($F73&lt;=INDEX(Regras!$C$4:$C$103,MATCH($D73,Regras!$A$4:$A$103,0)),INDEX(Regras!$E$4:$E$103,MATCH($D73,Regras!$A$4:$A$103,0)),IF($F73&gt;=INDEX(Regras!$D$4:$D$103,MATCH($D73,Regras!$A$4:$A$103,0)),INDEX(Regras!$F$4:$F$103,MATCH($D73,Regras!$A$4:$A$103,0)),0)),""))</f>
        <v/>
      </c>
      <c r="U73" s="27">
        <f>IF($AG73&lt;&gt;"Pronta","",IFERROR(IF($G73="",0,IF($G73&lt;=$E73*(1-INDEX(Regras!$G$4:$G$103,MATCH($D73,Regras!$A$4:$A$103,0))),INDEX(Regras!$H$4:$H$103,MATCH($D73,Regras!$A$4:$A$103,0)),IF($G73&gt;=$E73*(1+INDEX(Regras!$G$4:$G$103,MATCH($D73,Regras!$A$4:$A$103,0))),INDEX(Regras!$I$4:$I$103,MATCH($D73,Regras!$A$4:$A$103,0)),0))),""))</f>
        <v/>
      </c>
      <c r="V73" s="27">
        <f>IF($AG73&lt;&gt;"Pronta","",IFERROR(IF($H73/$S73&lt;=INDEX(Regras!$J$4:$J$103,MATCH($D73,Regras!$A$4:$A$103,0)),INDEX(Regras!$L$4:$L$103,MATCH($D73,Regras!$A$4:$A$103,0)),IF($H73/$S73&gt;=INDEX(Regras!$K$4:$K$103,MATCH($D73,Regras!$A$4:$A$103,0)),INDEX(Regras!$M$4:$M$103,MATCH($D73,Regras!$A$4:$A$103,0)),0)),""))</f>
        <v/>
      </c>
      <c r="W73" s="27">
        <f>IF($AG73&lt;&gt;"Pronta","",SUM($T73:$V73))</f>
        <v/>
      </c>
      <c r="X73" s="27">
        <f>IF($AG73&lt;&gt;"Pronta","",IFERROR(MAX(-INDEX(Regras!$N$4:$N$103,MATCH($D73,Regras!$A$4:$A$103,0)),MIN(INDEX(Regras!$N$4:$N$103,MATCH($D73,Regras!$A$4:$A$103,0)),$W73)),""))</f>
        <v/>
      </c>
      <c r="Y73" s="19">
        <f>IF($AG73&lt;&gt;"Pronta","",IFERROR(ROUND($E73*(1+$X73),2),""))</f>
        <v/>
      </c>
      <c r="Z73" s="29">
        <f>IF(OR($AG73&lt;&gt;"Pronta",$Q73="",$R73=""),"",IFERROR(ROUND(MIN($R73,MAX($Q73,$Y73)),2),""))</f>
        <v/>
      </c>
      <c r="AA73" s="27">
        <f>IF(OR($E73="",$Z73=""),"",IFERROR($Z73/$E73-1,""))</f>
        <v/>
      </c>
      <c r="AB73" s="26">
        <f>IF($Z73="","",IF($Y73&lt;$Q73,"Piso",IF($Y73&gt;$R73,"Teto","Nenhuma")))</f>
        <v/>
      </c>
      <c r="AC73" s="21">
        <f>IF($A73="","",IF($AG73&lt;&gt;"Pronta","Aguardando dados válidos",_xlfn.TEXTJOIN(" | ",TRUE,IF($T73&gt;0,"Demanda: aumento",IF($T73&lt;0,"Demanda: redução","")),IF($U73&gt;0,"Concorrência: aumento",IF($U73&lt;0,"Concorrência: redução","")),IF($V73&gt;0,"Estoque: aumento",IF($V73&lt;0,"Estoque: redução","")),IF(ABS($W73-$X73)&gt;0.0000001,"Limite da rodada aplicado",""),IF($AB73="Piso","Piso vigente aplicado",IF($AB73="Teto","Teto aplicado","")),IF(AND($T73=0,$U73=0,$V73=0),"Sem gatilho de reajuste",""))))</f>
        <v/>
      </c>
      <c r="AD73" s="21">
        <f>IF(OR($A73="",$AG73&lt;&gt;"Pronta"),"",_xlfn.TEXTJOIN(" | ",TRUE,IF($E73&lt;$Q73,"Preço atual abaixo do piso",""),IF($E73&gt;$R73,"Preço atual acima do teto",""),IF(AND($N73&gt;0,$E73&gt;0,1-$N73/$E73&lt;$O73),"Margem estimada do preço atual abaixo do mínimo",""),IF($G73="","Preço concorrente não informado",""),IF($AB73="Piso","Recomendação travada no piso",""),IF($AB73="Teto","Recomendação travada no teto","")))</f>
        <v/>
      </c>
      <c r="AE73" s="19">
        <f>IF($AG73&lt;&gt;"Pronta","",IF($I73="Aprovar recomendação",$Z73,IF($I73="Manter preço atual",$E73,IF($I73="Definir manualmente",$J73,""))))</f>
        <v/>
      </c>
      <c r="AF73" s="21">
        <f>IF($A73="","",IF($AG73&lt;&gt;"Pronta","Aguardando correção",IF(OR($I73="",$I73="Pendente"),"Decisão pendente",IF(AND($I73="Definir manualmente",OR($J73="",$J73&lt;=0)),"Informe o preço manual",IF(OR($AE73&lt;$Q73,$AE73&gt;$R73),"Preço final fora do piso/teto","OK")))))</f>
        <v/>
      </c>
      <c r="AG73" s="26">
        <f>IF(COUNTA($A73:$K73)=0,"",IF(OR($A73="",$B73="",$C73="",$D73="",$E73="",$F73="",$H73=""),"Incompleta",IF(OR(COUNTIF($A$5:$A$204,$A73)&gt;1,NOT(ISNUMBER($B73)),COUNTIF(Produtos!$A$4:$A$103,$C73)&lt;&gt;1,IFERROR(INDEX(Produtos!$K$4:$K$103,MATCH($C73,Produtos!$A$4:$A$103,0))&lt;&gt;"Ativo",TRUE),IFERROR(INDEX(Produtos!$L$4:$L$103,MATCH($C73,Produtos!$A$4:$A$103,0))&lt;&gt;"OK",TRUE),COUNTIF(Regras!$A$4:$A$103,$D73)&lt;&gt;1,IFERROR(INDEX(Regras!$O$4:$O$103,MATCH($D73,Regras!$A$4:$A$103,0))&lt;&gt;"Sim",TRUE),IFERROR(INDEX(Regras!$P$4:$P$103,MATCH($D73,Regras!$A$4:$A$103,0))&lt;&gt;"OK",TRUE),NOT(ISNUMBER($E73)),$E73&lt;=0,NOT(ISNUMBER($F73)),$F73&lt;0,$F73&gt;5,NOT(ISNUMBER($H73)),$H73&lt;0,$H73&lt;&gt;INT($H73),AND($G73&lt;&gt;"",OR(NOT(ISNUMBER($G73)),$G73&lt;=0))),"Revisar","Pronta")))</f>
        <v/>
      </c>
    </row>
    <row r="74">
      <c r="A74" s="16" t="n"/>
      <c r="B74" s="24" t="n"/>
      <c r="C74" s="16" t="n"/>
      <c r="D74" s="16" t="n"/>
      <c r="E74" s="17" t="n"/>
      <c r="F74" s="18" t="n"/>
      <c r="G74" s="17" t="n"/>
      <c r="H74" s="20" t="n"/>
      <c r="I74" s="16" t="n"/>
      <c r="J74" s="17" t="n"/>
      <c r="K74" s="25" t="n"/>
      <c r="L74" s="26">
        <f>IF($C74="","",IFERROR(INDEX(Produtos!$B$4:$B$103,MATCH($C74,Produtos!$A$4:$A$103,0)),""))</f>
        <v/>
      </c>
      <c r="M74" s="26">
        <f>IF($C74="","",IFERROR(INDEX(Produtos!$C$4:$C$103,MATCH($C74,Produtos!$A$4:$A$103,0)),""))</f>
        <v/>
      </c>
      <c r="N74" s="19">
        <f>IF($C74="","",IFERROR(INDEX(Produtos!$D$4:$D$103,MATCH($C74,Produtos!$A$4:$A$103,0)),""))</f>
        <v/>
      </c>
      <c r="O74" s="27">
        <f>IF($C74="","",IFERROR(INDEX(Produtos!$E$4:$E$103,MATCH($C74,Produtos!$A$4:$A$103,0)),""))</f>
        <v/>
      </c>
      <c r="P74" s="19">
        <f>IF($C74="","",IFERROR(INDEX(Produtos!$G$4:$G$103,MATCH($C74,Produtos!$A$4:$A$103,0)),""))</f>
        <v/>
      </c>
      <c r="Q74" s="19">
        <f>IF($C74="","",IFERROR(INDEX(Produtos!$H$4:$H$103,MATCH($C74,Produtos!$A$4:$A$103,0)),""))</f>
        <v/>
      </c>
      <c r="R74" s="19">
        <f>IF($C74="","",IFERROR(INDEX(Produtos!$I$4:$I$103,MATCH($C74,Produtos!$A$4:$A$103,0)),""))</f>
        <v/>
      </c>
      <c r="S74" s="28">
        <f>IF($C74="","",IFERROR(INDEX(Produtos!$J$4:$J$103,MATCH($C74,Produtos!$A$4:$A$103,0)),""))</f>
        <v/>
      </c>
      <c r="T74" s="27">
        <f>IF($AG74&lt;&gt;"Pronta","",IFERROR(IF($F74&lt;=INDEX(Regras!$C$4:$C$103,MATCH($D74,Regras!$A$4:$A$103,0)),INDEX(Regras!$E$4:$E$103,MATCH($D74,Regras!$A$4:$A$103,0)),IF($F74&gt;=INDEX(Regras!$D$4:$D$103,MATCH($D74,Regras!$A$4:$A$103,0)),INDEX(Regras!$F$4:$F$103,MATCH($D74,Regras!$A$4:$A$103,0)),0)),""))</f>
        <v/>
      </c>
      <c r="U74" s="27">
        <f>IF($AG74&lt;&gt;"Pronta","",IFERROR(IF($G74="",0,IF($G74&lt;=$E74*(1-INDEX(Regras!$G$4:$G$103,MATCH($D74,Regras!$A$4:$A$103,0))),INDEX(Regras!$H$4:$H$103,MATCH($D74,Regras!$A$4:$A$103,0)),IF($G74&gt;=$E74*(1+INDEX(Regras!$G$4:$G$103,MATCH($D74,Regras!$A$4:$A$103,0))),INDEX(Regras!$I$4:$I$103,MATCH($D74,Regras!$A$4:$A$103,0)),0))),""))</f>
        <v/>
      </c>
      <c r="V74" s="27">
        <f>IF($AG74&lt;&gt;"Pronta","",IFERROR(IF($H74/$S74&lt;=INDEX(Regras!$J$4:$J$103,MATCH($D74,Regras!$A$4:$A$103,0)),INDEX(Regras!$L$4:$L$103,MATCH($D74,Regras!$A$4:$A$103,0)),IF($H74/$S74&gt;=INDEX(Regras!$K$4:$K$103,MATCH($D74,Regras!$A$4:$A$103,0)),INDEX(Regras!$M$4:$M$103,MATCH($D74,Regras!$A$4:$A$103,0)),0)),""))</f>
        <v/>
      </c>
      <c r="W74" s="27">
        <f>IF($AG74&lt;&gt;"Pronta","",SUM($T74:$V74))</f>
        <v/>
      </c>
      <c r="X74" s="27">
        <f>IF($AG74&lt;&gt;"Pronta","",IFERROR(MAX(-INDEX(Regras!$N$4:$N$103,MATCH($D74,Regras!$A$4:$A$103,0)),MIN(INDEX(Regras!$N$4:$N$103,MATCH($D74,Regras!$A$4:$A$103,0)),$W74)),""))</f>
        <v/>
      </c>
      <c r="Y74" s="19">
        <f>IF($AG74&lt;&gt;"Pronta","",IFERROR(ROUND($E74*(1+$X74),2),""))</f>
        <v/>
      </c>
      <c r="Z74" s="29">
        <f>IF(OR($AG74&lt;&gt;"Pronta",$Q74="",$R74=""),"",IFERROR(ROUND(MIN($R74,MAX($Q74,$Y74)),2),""))</f>
        <v/>
      </c>
      <c r="AA74" s="27">
        <f>IF(OR($E74="",$Z74=""),"",IFERROR($Z74/$E74-1,""))</f>
        <v/>
      </c>
      <c r="AB74" s="26">
        <f>IF($Z74="","",IF($Y74&lt;$Q74,"Piso",IF($Y74&gt;$R74,"Teto","Nenhuma")))</f>
        <v/>
      </c>
      <c r="AC74" s="21">
        <f>IF($A74="","",IF($AG74&lt;&gt;"Pronta","Aguardando dados válidos",_xlfn.TEXTJOIN(" | ",TRUE,IF($T74&gt;0,"Demanda: aumento",IF($T74&lt;0,"Demanda: redução","")),IF($U74&gt;0,"Concorrência: aumento",IF($U74&lt;0,"Concorrência: redução","")),IF($V74&gt;0,"Estoque: aumento",IF($V74&lt;0,"Estoque: redução","")),IF(ABS($W74-$X74)&gt;0.0000001,"Limite da rodada aplicado",""),IF($AB74="Piso","Piso vigente aplicado",IF($AB74="Teto","Teto aplicado","")),IF(AND($T74=0,$U74=0,$V74=0),"Sem gatilho de reajuste",""))))</f>
        <v/>
      </c>
      <c r="AD74" s="21">
        <f>IF(OR($A74="",$AG74&lt;&gt;"Pronta"),"",_xlfn.TEXTJOIN(" | ",TRUE,IF($E74&lt;$Q74,"Preço atual abaixo do piso",""),IF($E74&gt;$R74,"Preço atual acima do teto",""),IF(AND($N74&gt;0,$E74&gt;0,1-$N74/$E74&lt;$O74),"Margem estimada do preço atual abaixo do mínimo",""),IF($G74="","Preço concorrente não informado",""),IF($AB74="Piso","Recomendação travada no piso",""),IF($AB74="Teto","Recomendação travada no teto","")))</f>
        <v/>
      </c>
      <c r="AE74" s="19">
        <f>IF($AG74&lt;&gt;"Pronta","",IF($I74="Aprovar recomendação",$Z74,IF($I74="Manter preço atual",$E74,IF($I74="Definir manualmente",$J74,""))))</f>
        <v/>
      </c>
      <c r="AF74" s="21">
        <f>IF($A74="","",IF($AG74&lt;&gt;"Pronta","Aguardando correção",IF(OR($I74="",$I74="Pendente"),"Decisão pendente",IF(AND($I74="Definir manualmente",OR($J74="",$J74&lt;=0)),"Informe o preço manual",IF(OR($AE74&lt;$Q74,$AE74&gt;$R74),"Preço final fora do piso/teto","OK")))))</f>
        <v/>
      </c>
      <c r="AG74" s="26">
        <f>IF(COUNTA($A74:$K74)=0,"",IF(OR($A74="",$B74="",$C74="",$D74="",$E74="",$F74="",$H74=""),"Incompleta",IF(OR(COUNTIF($A$5:$A$204,$A74)&gt;1,NOT(ISNUMBER($B74)),COUNTIF(Produtos!$A$4:$A$103,$C74)&lt;&gt;1,IFERROR(INDEX(Produtos!$K$4:$K$103,MATCH($C74,Produtos!$A$4:$A$103,0))&lt;&gt;"Ativo",TRUE),IFERROR(INDEX(Produtos!$L$4:$L$103,MATCH($C74,Produtos!$A$4:$A$103,0))&lt;&gt;"OK",TRUE),COUNTIF(Regras!$A$4:$A$103,$D74)&lt;&gt;1,IFERROR(INDEX(Regras!$O$4:$O$103,MATCH($D74,Regras!$A$4:$A$103,0))&lt;&gt;"Sim",TRUE),IFERROR(INDEX(Regras!$P$4:$P$103,MATCH($D74,Regras!$A$4:$A$103,0))&lt;&gt;"OK",TRUE),NOT(ISNUMBER($E74)),$E74&lt;=0,NOT(ISNUMBER($F74)),$F74&lt;0,$F74&gt;5,NOT(ISNUMBER($H74)),$H74&lt;0,$H74&lt;&gt;INT($H74),AND($G74&lt;&gt;"",OR(NOT(ISNUMBER($G74)),$G74&lt;=0))),"Revisar","Pronta")))</f>
        <v/>
      </c>
    </row>
    <row r="75">
      <c r="A75" s="16" t="n"/>
      <c r="B75" s="24" t="n"/>
      <c r="C75" s="16" t="n"/>
      <c r="D75" s="16" t="n"/>
      <c r="E75" s="17" t="n"/>
      <c r="F75" s="18" t="n"/>
      <c r="G75" s="17" t="n"/>
      <c r="H75" s="20" t="n"/>
      <c r="I75" s="16" t="n"/>
      <c r="J75" s="17" t="n"/>
      <c r="K75" s="25" t="n"/>
      <c r="L75" s="26">
        <f>IF($C75="","",IFERROR(INDEX(Produtos!$B$4:$B$103,MATCH($C75,Produtos!$A$4:$A$103,0)),""))</f>
        <v/>
      </c>
      <c r="M75" s="26">
        <f>IF($C75="","",IFERROR(INDEX(Produtos!$C$4:$C$103,MATCH($C75,Produtos!$A$4:$A$103,0)),""))</f>
        <v/>
      </c>
      <c r="N75" s="19">
        <f>IF($C75="","",IFERROR(INDEX(Produtos!$D$4:$D$103,MATCH($C75,Produtos!$A$4:$A$103,0)),""))</f>
        <v/>
      </c>
      <c r="O75" s="27">
        <f>IF($C75="","",IFERROR(INDEX(Produtos!$E$4:$E$103,MATCH($C75,Produtos!$A$4:$A$103,0)),""))</f>
        <v/>
      </c>
      <c r="P75" s="19">
        <f>IF($C75="","",IFERROR(INDEX(Produtos!$G$4:$G$103,MATCH($C75,Produtos!$A$4:$A$103,0)),""))</f>
        <v/>
      </c>
      <c r="Q75" s="19">
        <f>IF($C75="","",IFERROR(INDEX(Produtos!$H$4:$H$103,MATCH($C75,Produtos!$A$4:$A$103,0)),""))</f>
        <v/>
      </c>
      <c r="R75" s="19">
        <f>IF($C75="","",IFERROR(INDEX(Produtos!$I$4:$I$103,MATCH($C75,Produtos!$A$4:$A$103,0)),""))</f>
        <v/>
      </c>
      <c r="S75" s="28">
        <f>IF($C75="","",IFERROR(INDEX(Produtos!$J$4:$J$103,MATCH($C75,Produtos!$A$4:$A$103,0)),""))</f>
        <v/>
      </c>
      <c r="T75" s="27">
        <f>IF($AG75&lt;&gt;"Pronta","",IFERROR(IF($F75&lt;=INDEX(Regras!$C$4:$C$103,MATCH($D75,Regras!$A$4:$A$103,0)),INDEX(Regras!$E$4:$E$103,MATCH($D75,Regras!$A$4:$A$103,0)),IF($F75&gt;=INDEX(Regras!$D$4:$D$103,MATCH($D75,Regras!$A$4:$A$103,0)),INDEX(Regras!$F$4:$F$103,MATCH($D75,Regras!$A$4:$A$103,0)),0)),""))</f>
        <v/>
      </c>
      <c r="U75" s="27">
        <f>IF($AG75&lt;&gt;"Pronta","",IFERROR(IF($G75="",0,IF($G75&lt;=$E75*(1-INDEX(Regras!$G$4:$G$103,MATCH($D75,Regras!$A$4:$A$103,0))),INDEX(Regras!$H$4:$H$103,MATCH($D75,Regras!$A$4:$A$103,0)),IF($G75&gt;=$E75*(1+INDEX(Regras!$G$4:$G$103,MATCH($D75,Regras!$A$4:$A$103,0))),INDEX(Regras!$I$4:$I$103,MATCH($D75,Regras!$A$4:$A$103,0)),0))),""))</f>
        <v/>
      </c>
      <c r="V75" s="27">
        <f>IF($AG75&lt;&gt;"Pronta","",IFERROR(IF($H75/$S75&lt;=INDEX(Regras!$J$4:$J$103,MATCH($D75,Regras!$A$4:$A$103,0)),INDEX(Regras!$L$4:$L$103,MATCH($D75,Regras!$A$4:$A$103,0)),IF($H75/$S75&gt;=INDEX(Regras!$K$4:$K$103,MATCH($D75,Regras!$A$4:$A$103,0)),INDEX(Regras!$M$4:$M$103,MATCH($D75,Regras!$A$4:$A$103,0)),0)),""))</f>
        <v/>
      </c>
      <c r="W75" s="27">
        <f>IF($AG75&lt;&gt;"Pronta","",SUM($T75:$V75))</f>
        <v/>
      </c>
      <c r="X75" s="27">
        <f>IF($AG75&lt;&gt;"Pronta","",IFERROR(MAX(-INDEX(Regras!$N$4:$N$103,MATCH($D75,Regras!$A$4:$A$103,0)),MIN(INDEX(Regras!$N$4:$N$103,MATCH($D75,Regras!$A$4:$A$103,0)),$W75)),""))</f>
        <v/>
      </c>
      <c r="Y75" s="19">
        <f>IF($AG75&lt;&gt;"Pronta","",IFERROR(ROUND($E75*(1+$X75),2),""))</f>
        <v/>
      </c>
      <c r="Z75" s="29">
        <f>IF(OR($AG75&lt;&gt;"Pronta",$Q75="",$R75=""),"",IFERROR(ROUND(MIN($R75,MAX($Q75,$Y75)),2),""))</f>
        <v/>
      </c>
      <c r="AA75" s="27">
        <f>IF(OR($E75="",$Z75=""),"",IFERROR($Z75/$E75-1,""))</f>
        <v/>
      </c>
      <c r="AB75" s="26">
        <f>IF($Z75="","",IF($Y75&lt;$Q75,"Piso",IF($Y75&gt;$R75,"Teto","Nenhuma")))</f>
        <v/>
      </c>
      <c r="AC75" s="21">
        <f>IF($A75="","",IF($AG75&lt;&gt;"Pronta","Aguardando dados válidos",_xlfn.TEXTJOIN(" | ",TRUE,IF($T75&gt;0,"Demanda: aumento",IF($T75&lt;0,"Demanda: redução","")),IF($U75&gt;0,"Concorrência: aumento",IF($U75&lt;0,"Concorrência: redução","")),IF($V75&gt;0,"Estoque: aumento",IF($V75&lt;0,"Estoque: redução","")),IF(ABS($W75-$X75)&gt;0.0000001,"Limite da rodada aplicado",""),IF($AB75="Piso","Piso vigente aplicado",IF($AB75="Teto","Teto aplicado","")),IF(AND($T75=0,$U75=0,$V75=0),"Sem gatilho de reajuste",""))))</f>
        <v/>
      </c>
      <c r="AD75" s="21">
        <f>IF(OR($A75="",$AG75&lt;&gt;"Pronta"),"",_xlfn.TEXTJOIN(" | ",TRUE,IF($E75&lt;$Q75,"Preço atual abaixo do piso",""),IF($E75&gt;$R75,"Preço atual acima do teto",""),IF(AND($N75&gt;0,$E75&gt;0,1-$N75/$E75&lt;$O75),"Margem estimada do preço atual abaixo do mínimo",""),IF($G75="","Preço concorrente não informado",""),IF($AB75="Piso","Recomendação travada no piso",""),IF($AB75="Teto","Recomendação travada no teto","")))</f>
        <v/>
      </c>
      <c r="AE75" s="19">
        <f>IF($AG75&lt;&gt;"Pronta","",IF($I75="Aprovar recomendação",$Z75,IF($I75="Manter preço atual",$E75,IF($I75="Definir manualmente",$J75,""))))</f>
        <v/>
      </c>
      <c r="AF75" s="21">
        <f>IF($A75="","",IF($AG75&lt;&gt;"Pronta","Aguardando correção",IF(OR($I75="",$I75="Pendente"),"Decisão pendente",IF(AND($I75="Definir manualmente",OR($J75="",$J75&lt;=0)),"Informe o preço manual",IF(OR($AE75&lt;$Q75,$AE75&gt;$R75),"Preço final fora do piso/teto","OK")))))</f>
        <v/>
      </c>
      <c r="AG75" s="26">
        <f>IF(COUNTA($A75:$K75)=0,"",IF(OR($A75="",$B75="",$C75="",$D75="",$E75="",$F75="",$H75=""),"Incompleta",IF(OR(COUNTIF($A$5:$A$204,$A75)&gt;1,NOT(ISNUMBER($B75)),COUNTIF(Produtos!$A$4:$A$103,$C75)&lt;&gt;1,IFERROR(INDEX(Produtos!$K$4:$K$103,MATCH($C75,Produtos!$A$4:$A$103,0))&lt;&gt;"Ativo",TRUE),IFERROR(INDEX(Produtos!$L$4:$L$103,MATCH($C75,Produtos!$A$4:$A$103,0))&lt;&gt;"OK",TRUE),COUNTIF(Regras!$A$4:$A$103,$D75)&lt;&gt;1,IFERROR(INDEX(Regras!$O$4:$O$103,MATCH($D75,Regras!$A$4:$A$103,0))&lt;&gt;"Sim",TRUE),IFERROR(INDEX(Regras!$P$4:$P$103,MATCH($D75,Regras!$A$4:$A$103,0))&lt;&gt;"OK",TRUE),NOT(ISNUMBER($E75)),$E75&lt;=0,NOT(ISNUMBER($F75)),$F75&lt;0,$F75&gt;5,NOT(ISNUMBER($H75)),$H75&lt;0,$H75&lt;&gt;INT($H75),AND($G75&lt;&gt;"",OR(NOT(ISNUMBER($G75)),$G75&lt;=0))),"Revisar","Pronta")))</f>
        <v/>
      </c>
    </row>
    <row r="76">
      <c r="A76" s="16" t="n"/>
      <c r="B76" s="24" t="n"/>
      <c r="C76" s="16" t="n"/>
      <c r="D76" s="16" t="n"/>
      <c r="E76" s="17" t="n"/>
      <c r="F76" s="18" t="n"/>
      <c r="G76" s="17" t="n"/>
      <c r="H76" s="20" t="n"/>
      <c r="I76" s="16" t="n"/>
      <c r="J76" s="17" t="n"/>
      <c r="K76" s="25" t="n"/>
      <c r="L76" s="26">
        <f>IF($C76="","",IFERROR(INDEX(Produtos!$B$4:$B$103,MATCH($C76,Produtos!$A$4:$A$103,0)),""))</f>
        <v/>
      </c>
      <c r="M76" s="26">
        <f>IF($C76="","",IFERROR(INDEX(Produtos!$C$4:$C$103,MATCH($C76,Produtos!$A$4:$A$103,0)),""))</f>
        <v/>
      </c>
      <c r="N76" s="19">
        <f>IF($C76="","",IFERROR(INDEX(Produtos!$D$4:$D$103,MATCH($C76,Produtos!$A$4:$A$103,0)),""))</f>
        <v/>
      </c>
      <c r="O76" s="27">
        <f>IF($C76="","",IFERROR(INDEX(Produtos!$E$4:$E$103,MATCH($C76,Produtos!$A$4:$A$103,0)),""))</f>
        <v/>
      </c>
      <c r="P76" s="19">
        <f>IF($C76="","",IFERROR(INDEX(Produtos!$G$4:$G$103,MATCH($C76,Produtos!$A$4:$A$103,0)),""))</f>
        <v/>
      </c>
      <c r="Q76" s="19">
        <f>IF($C76="","",IFERROR(INDEX(Produtos!$H$4:$H$103,MATCH($C76,Produtos!$A$4:$A$103,0)),""))</f>
        <v/>
      </c>
      <c r="R76" s="19">
        <f>IF($C76="","",IFERROR(INDEX(Produtos!$I$4:$I$103,MATCH($C76,Produtos!$A$4:$A$103,0)),""))</f>
        <v/>
      </c>
      <c r="S76" s="28">
        <f>IF($C76="","",IFERROR(INDEX(Produtos!$J$4:$J$103,MATCH($C76,Produtos!$A$4:$A$103,0)),""))</f>
        <v/>
      </c>
      <c r="T76" s="27">
        <f>IF($AG76&lt;&gt;"Pronta","",IFERROR(IF($F76&lt;=INDEX(Regras!$C$4:$C$103,MATCH($D76,Regras!$A$4:$A$103,0)),INDEX(Regras!$E$4:$E$103,MATCH($D76,Regras!$A$4:$A$103,0)),IF($F76&gt;=INDEX(Regras!$D$4:$D$103,MATCH($D76,Regras!$A$4:$A$103,0)),INDEX(Regras!$F$4:$F$103,MATCH($D76,Regras!$A$4:$A$103,0)),0)),""))</f>
        <v/>
      </c>
      <c r="U76" s="27">
        <f>IF($AG76&lt;&gt;"Pronta","",IFERROR(IF($G76="",0,IF($G76&lt;=$E76*(1-INDEX(Regras!$G$4:$G$103,MATCH($D76,Regras!$A$4:$A$103,0))),INDEX(Regras!$H$4:$H$103,MATCH($D76,Regras!$A$4:$A$103,0)),IF($G76&gt;=$E76*(1+INDEX(Regras!$G$4:$G$103,MATCH($D76,Regras!$A$4:$A$103,0))),INDEX(Regras!$I$4:$I$103,MATCH($D76,Regras!$A$4:$A$103,0)),0))),""))</f>
        <v/>
      </c>
      <c r="V76" s="27">
        <f>IF($AG76&lt;&gt;"Pronta","",IFERROR(IF($H76/$S76&lt;=INDEX(Regras!$J$4:$J$103,MATCH($D76,Regras!$A$4:$A$103,0)),INDEX(Regras!$L$4:$L$103,MATCH($D76,Regras!$A$4:$A$103,0)),IF($H76/$S76&gt;=INDEX(Regras!$K$4:$K$103,MATCH($D76,Regras!$A$4:$A$103,0)),INDEX(Regras!$M$4:$M$103,MATCH($D76,Regras!$A$4:$A$103,0)),0)),""))</f>
        <v/>
      </c>
      <c r="W76" s="27">
        <f>IF($AG76&lt;&gt;"Pronta","",SUM($T76:$V76))</f>
        <v/>
      </c>
      <c r="X76" s="27">
        <f>IF($AG76&lt;&gt;"Pronta","",IFERROR(MAX(-INDEX(Regras!$N$4:$N$103,MATCH($D76,Regras!$A$4:$A$103,0)),MIN(INDEX(Regras!$N$4:$N$103,MATCH($D76,Regras!$A$4:$A$103,0)),$W76)),""))</f>
        <v/>
      </c>
      <c r="Y76" s="19">
        <f>IF($AG76&lt;&gt;"Pronta","",IFERROR(ROUND($E76*(1+$X76),2),""))</f>
        <v/>
      </c>
      <c r="Z76" s="29">
        <f>IF(OR($AG76&lt;&gt;"Pronta",$Q76="",$R76=""),"",IFERROR(ROUND(MIN($R76,MAX($Q76,$Y76)),2),""))</f>
        <v/>
      </c>
      <c r="AA76" s="27">
        <f>IF(OR($E76="",$Z76=""),"",IFERROR($Z76/$E76-1,""))</f>
        <v/>
      </c>
      <c r="AB76" s="26">
        <f>IF($Z76="","",IF($Y76&lt;$Q76,"Piso",IF($Y76&gt;$R76,"Teto","Nenhuma")))</f>
        <v/>
      </c>
      <c r="AC76" s="21">
        <f>IF($A76="","",IF($AG76&lt;&gt;"Pronta","Aguardando dados válidos",_xlfn.TEXTJOIN(" | ",TRUE,IF($T76&gt;0,"Demanda: aumento",IF($T76&lt;0,"Demanda: redução","")),IF($U76&gt;0,"Concorrência: aumento",IF($U76&lt;0,"Concorrência: redução","")),IF($V76&gt;0,"Estoque: aumento",IF($V76&lt;0,"Estoque: redução","")),IF(ABS($W76-$X76)&gt;0.0000001,"Limite da rodada aplicado",""),IF($AB76="Piso","Piso vigente aplicado",IF($AB76="Teto","Teto aplicado","")),IF(AND($T76=0,$U76=0,$V76=0),"Sem gatilho de reajuste",""))))</f>
        <v/>
      </c>
      <c r="AD76" s="21">
        <f>IF(OR($A76="",$AG76&lt;&gt;"Pronta"),"",_xlfn.TEXTJOIN(" | ",TRUE,IF($E76&lt;$Q76,"Preço atual abaixo do piso",""),IF($E76&gt;$R76,"Preço atual acima do teto",""),IF(AND($N76&gt;0,$E76&gt;0,1-$N76/$E76&lt;$O76),"Margem estimada do preço atual abaixo do mínimo",""),IF($G76="","Preço concorrente não informado",""),IF($AB76="Piso","Recomendação travada no piso",""),IF($AB76="Teto","Recomendação travada no teto","")))</f>
        <v/>
      </c>
      <c r="AE76" s="19">
        <f>IF($AG76&lt;&gt;"Pronta","",IF($I76="Aprovar recomendação",$Z76,IF($I76="Manter preço atual",$E76,IF($I76="Definir manualmente",$J76,""))))</f>
        <v/>
      </c>
      <c r="AF76" s="21">
        <f>IF($A76="","",IF($AG76&lt;&gt;"Pronta","Aguardando correção",IF(OR($I76="",$I76="Pendente"),"Decisão pendente",IF(AND($I76="Definir manualmente",OR($J76="",$J76&lt;=0)),"Informe o preço manual",IF(OR($AE76&lt;$Q76,$AE76&gt;$R76),"Preço final fora do piso/teto","OK")))))</f>
        <v/>
      </c>
      <c r="AG76" s="26">
        <f>IF(COUNTA($A76:$K76)=0,"",IF(OR($A76="",$B76="",$C76="",$D76="",$E76="",$F76="",$H76=""),"Incompleta",IF(OR(COUNTIF($A$5:$A$204,$A76)&gt;1,NOT(ISNUMBER($B76)),COUNTIF(Produtos!$A$4:$A$103,$C76)&lt;&gt;1,IFERROR(INDEX(Produtos!$K$4:$K$103,MATCH($C76,Produtos!$A$4:$A$103,0))&lt;&gt;"Ativo",TRUE),IFERROR(INDEX(Produtos!$L$4:$L$103,MATCH($C76,Produtos!$A$4:$A$103,0))&lt;&gt;"OK",TRUE),COUNTIF(Regras!$A$4:$A$103,$D76)&lt;&gt;1,IFERROR(INDEX(Regras!$O$4:$O$103,MATCH($D76,Regras!$A$4:$A$103,0))&lt;&gt;"Sim",TRUE),IFERROR(INDEX(Regras!$P$4:$P$103,MATCH($D76,Regras!$A$4:$A$103,0))&lt;&gt;"OK",TRUE),NOT(ISNUMBER($E76)),$E76&lt;=0,NOT(ISNUMBER($F76)),$F76&lt;0,$F76&gt;5,NOT(ISNUMBER($H76)),$H76&lt;0,$H76&lt;&gt;INT($H76),AND($G76&lt;&gt;"",OR(NOT(ISNUMBER($G76)),$G76&lt;=0))),"Revisar","Pronta")))</f>
        <v/>
      </c>
    </row>
    <row r="77">
      <c r="A77" s="16" t="n"/>
      <c r="B77" s="24" t="n"/>
      <c r="C77" s="16" t="n"/>
      <c r="D77" s="16" t="n"/>
      <c r="E77" s="17" t="n"/>
      <c r="F77" s="18" t="n"/>
      <c r="G77" s="17" t="n"/>
      <c r="H77" s="20" t="n"/>
      <c r="I77" s="16" t="n"/>
      <c r="J77" s="17" t="n"/>
      <c r="K77" s="25" t="n"/>
      <c r="L77" s="26">
        <f>IF($C77="","",IFERROR(INDEX(Produtos!$B$4:$B$103,MATCH($C77,Produtos!$A$4:$A$103,0)),""))</f>
        <v/>
      </c>
      <c r="M77" s="26">
        <f>IF($C77="","",IFERROR(INDEX(Produtos!$C$4:$C$103,MATCH($C77,Produtos!$A$4:$A$103,0)),""))</f>
        <v/>
      </c>
      <c r="N77" s="19">
        <f>IF($C77="","",IFERROR(INDEX(Produtos!$D$4:$D$103,MATCH($C77,Produtos!$A$4:$A$103,0)),""))</f>
        <v/>
      </c>
      <c r="O77" s="27">
        <f>IF($C77="","",IFERROR(INDEX(Produtos!$E$4:$E$103,MATCH($C77,Produtos!$A$4:$A$103,0)),""))</f>
        <v/>
      </c>
      <c r="P77" s="19">
        <f>IF($C77="","",IFERROR(INDEX(Produtos!$G$4:$G$103,MATCH($C77,Produtos!$A$4:$A$103,0)),""))</f>
        <v/>
      </c>
      <c r="Q77" s="19">
        <f>IF($C77="","",IFERROR(INDEX(Produtos!$H$4:$H$103,MATCH($C77,Produtos!$A$4:$A$103,0)),""))</f>
        <v/>
      </c>
      <c r="R77" s="19">
        <f>IF($C77="","",IFERROR(INDEX(Produtos!$I$4:$I$103,MATCH($C77,Produtos!$A$4:$A$103,0)),""))</f>
        <v/>
      </c>
      <c r="S77" s="28">
        <f>IF($C77="","",IFERROR(INDEX(Produtos!$J$4:$J$103,MATCH($C77,Produtos!$A$4:$A$103,0)),""))</f>
        <v/>
      </c>
      <c r="T77" s="27">
        <f>IF($AG77&lt;&gt;"Pronta","",IFERROR(IF($F77&lt;=INDEX(Regras!$C$4:$C$103,MATCH($D77,Regras!$A$4:$A$103,0)),INDEX(Regras!$E$4:$E$103,MATCH($D77,Regras!$A$4:$A$103,0)),IF($F77&gt;=INDEX(Regras!$D$4:$D$103,MATCH($D77,Regras!$A$4:$A$103,0)),INDEX(Regras!$F$4:$F$103,MATCH($D77,Regras!$A$4:$A$103,0)),0)),""))</f>
        <v/>
      </c>
      <c r="U77" s="27">
        <f>IF($AG77&lt;&gt;"Pronta","",IFERROR(IF($G77="",0,IF($G77&lt;=$E77*(1-INDEX(Regras!$G$4:$G$103,MATCH($D77,Regras!$A$4:$A$103,0))),INDEX(Regras!$H$4:$H$103,MATCH($D77,Regras!$A$4:$A$103,0)),IF($G77&gt;=$E77*(1+INDEX(Regras!$G$4:$G$103,MATCH($D77,Regras!$A$4:$A$103,0))),INDEX(Regras!$I$4:$I$103,MATCH($D77,Regras!$A$4:$A$103,0)),0))),""))</f>
        <v/>
      </c>
      <c r="V77" s="27">
        <f>IF($AG77&lt;&gt;"Pronta","",IFERROR(IF($H77/$S77&lt;=INDEX(Regras!$J$4:$J$103,MATCH($D77,Regras!$A$4:$A$103,0)),INDEX(Regras!$L$4:$L$103,MATCH($D77,Regras!$A$4:$A$103,0)),IF($H77/$S77&gt;=INDEX(Regras!$K$4:$K$103,MATCH($D77,Regras!$A$4:$A$103,0)),INDEX(Regras!$M$4:$M$103,MATCH($D77,Regras!$A$4:$A$103,0)),0)),""))</f>
        <v/>
      </c>
      <c r="W77" s="27">
        <f>IF($AG77&lt;&gt;"Pronta","",SUM($T77:$V77))</f>
        <v/>
      </c>
      <c r="X77" s="27">
        <f>IF($AG77&lt;&gt;"Pronta","",IFERROR(MAX(-INDEX(Regras!$N$4:$N$103,MATCH($D77,Regras!$A$4:$A$103,0)),MIN(INDEX(Regras!$N$4:$N$103,MATCH($D77,Regras!$A$4:$A$103,0)),$W77)),""))</f>
        <v/>
      </c>
      <c r="Y77" s="19">
        <f>IF($AG77&lt;&gt;"Pronta","",IFERROR(ROUND($E77*(1+$X77),2),""))</f>
        <v/>
      </c>
      <c r="Z77" s="29">
        <f>IF(OR($AG77&lt;&gt;"Pronta",$Q77="",$R77=""),"",IFERROR(ROUND(MIN($R77,MAX($Q77,$Y77)),2),""))</f>
        <v/>
      </c>
      <c r="AA77" s="27">
        <f>IF(OR($E77="",$Z77=""),"",IFERROR($Z77/$E77-1,""))</f>
        <v/>
      </c>
      <c r="AB77" s="26">
        <f>IF($Z77="","",IF($Y77&lt;$Q77,"Piso",IF($Y77&gt;$R77,"Teto","Nenhuma")))</f>
        <v/>
      </c>
      <c r="AC77" s="21">
        <f>IF($A77="","",IF($AG77&lt;&gt;"Pronta","Aguardando dados válidos",_xlfn.TEXTJOIN(" | ",TRUE,IF($T77&gt;0,"Demanda: aumento",IF($T77&lt;0,"Demanda: redução","")),IF($U77&gt;0,"Concorrência: aumento",IF($U77&lt;0,"Concorrência: redução","")),IF($V77&gt;0,"Estoque: aumento",IF($V77&lt;0,"Estoque: redução","")),IF(ABS($W77-$X77)&gt;0.0000001,"Limite da rodada aplicado",""),IF($AB77="Piso","Piso vigente aplicado",IF($AB77="Teto","Teto aplicado","")),IF(AND($T77=0,$U77=0,$V77=0),"Sem gatilho de reajuste",""))))</f>
        <v/>
      </c>
      <c r="AD77" s="21">
        <f>IF(OR($A77="",$AG77&lt;&gt;"Pronta"),"",_xlfn.TEXTJOIN(" | ",TRUE,IF($E77&lt;$Q77,"Preço atual abaixo do piso",""),IF($E77&gt;$R77,"Preço atual acima do teto",""),IF(AND($N77&gt;0,$E77&gt;0,1-$N77/$E77&lt;$O77),"Margem estimada do preço atual abaixo do mínimo",""),IF($G77="","Preço concorrente não informado",""),IF($AB77="Piso","Recomendação travada no piso",""),IF($AB77="Teto","Recomendação travada no teto","")))</f>
        <v/>
      </c>
      <c r="AE77" s="19">
        <f>IF($AG77&lt;&gt;"Pronta","",IF($I77="Aprovar recomendação",$Z77,IF($I77="Manter preço atual",$E77,IF($I77="Definir manualmente",$J77,""))))</f>
        <v/>
      </c>
      <c r="AF77" s="21">
        <f>IF($A77="","",IF($AG77&lt;&gt;"Pronta","Aguardando correção",IF(OR($I77="",$I77="Pendente"),"Decisão pendente",IF(AND($I77="Definir manualmente",OR($J77="",$J77&lt;=0)),"Informe o preço manual",IF(OR($AE77&lt;$Q77,$AE77&gt;$R77),"Preço final fora do piso/teto","OK")))))</f>
        <v/>
      </c>
      <c r="AG77" s="26">
        <f>IF(COUNTA($A77:$K77)=0,"",IF(OR($A77="",$B77="",$C77="",$D77="",$E77="",$F77="",$H77=""),"Incompleta",IF(OR(COUNTIF($A$5:$A$204,$A77)&gt;1,NOT(ISNUMBER($B77)),COUNTIF(Produtos!$A$4:$A$103,$C77)&lt;&gt;1,IFERROR(INDEX(Produtos!$K$4:$K$103,MATCH($C77,Produtos!$A$4:$A$103,0))&lt;&gt;"Ativo",TRUE),IFERROR(INDEX(Produtos!$L$4:$L$103,MATCH($C77,Produtos!$A$4:$A$103,0))&lt;&gt;"OK",TRUE),COUNTIF(Regras!$A$4:$A$103,$D77)&lt;&gt;1,IFERROR(INDEX(Regras!$O$4:$O$103,MATCH($D77,Regras!$A$4:$A$103,0))&lt;&gt;"Sim",TRUE),IFERROR(INDEX(Regras!$P$4:$P$103,MATCH($D77,Regras!$A$4:$A$103,0))&lt;&gt;"OK",TRUE),NOT(ISNUMBER($E77)),$E77&lt;=0,NOT(ISNUMBER($F77)),$F77&lt;0,$F77&gt;5,NOT(ISNUMBER($H77)),$H77&lt;0,$H77&lt;&gt;INT($H77),AND($G77&lt;&gt;"",OR(NOT(ISNUMBER($G77)),$G77&lt;=0))),"Revisar","Pronta")))</f>
        <v/>
      </c>
    </row>
    <row r="78">
      <c r="A78" s="16" t="n"/>
      <c r="B78" s="24" t="n"/>
      <c r="C78" s="16" t="n"/>
      <c r="D78" s="16" t="n"/>
      <c r="E78" s="17" t="n"/>
      <c r="F78" s="18" t="n"/>
      <c r="G78" s="17" t="n"/>
      <c r="H78" s="20" t="n"/>
      <c r="I78" s="16" t="n"/>
      <c r="J78" s="17" t="n"/>
      <c r="K78" s="25" t="n"/>
      <c r="L78" s="26">
        <f>IF($C78="","",IFERROR(INDEX(Produtos!$B$4:$B$103,MATCH($C78,Produtos!$A$4:$A$103,0)),""))</f>
        <v/>
      </c>
      <c r="M78" s="26">
        <f>IF($C78="","",IFERROR(INDEX(Produtos!$C$4:$C$103,MATCH($C78,Produtos!$A$4:$A$103,0)),""))</f>
        <v/>
      </c>
      <c r="N78" s="19">
        <f>IF($C78="","",IFERROR(INDEX(Produtos!$D$4:$D$103,MATCH($C78,Produtos!$A$4:$A$103,0)),""))</f>
        <v/>
      </c>
      <c r="O78" s="27">
        <f>IF($C78="","",IFERROR(INDEX(Produtos!$E$4:$E$103,MATCH($C78,Produtos!$A$4:$A$103,0)),""))</f>
        <v/>
      </c>
      <c r="P78" s="19">
        <f>IF($C78="","",IFERROR(INDEX(Produtos!$G$4:$G$103,MATCH($C78,Produtos!$A$4:$A$103,0)),""))</f>
        <v/>
      </c>
      <c r="Q78" s="19">
        <f>IF($C78="","",IFERROR(INDEX(Produtos!$H$4:$H$103,MATCH($C78,Produtos!$A$4:$A$103,0)),""))</f>
        <v/>
      </c>
      <c r="R78" s="19">
        <f>IF($C78="","",IFERROR(INDEX(Produtos!$I$4:$I$103,MATCH($C78,Produtos!$A$4:$A$103,0)),""))</f>
        <v/>
      </c>
      <c r="S78" s="28">
        <f>IF($C78="","",IFERROR(INDEX(Produtos!$J$4:$J$103,MATCH($C78,Produtos!$A$4:$A$103,0)),""))</f>
        <v/>
      </c>
      <c r="T78" s="27">
        <f>IF($AG78&lt;&gt;"Pronta","",IFERROR(IF($F78&lt;=INDEX(Regras!$C$4:$C$103,MATCH($D78,Regras!$A$4:$A$103,0)),INDEX(Regras!$E$4:$E$103,MATCH($D78,Regras!$A$4:$A$103,0)),IF($F78&gt;=INDEX(Regras!$D$4:$D$103,MATCH($D78,Regras!$A$4:$A$103,0)),INDEX(Regras!$F$4:$F$103,MATCH($D78,Regras!$A$4:$A$103,0)),0)),""))</f>
        <v/>
      </c>
      <c r="U78" s="27">
        <f>IF($AG78&lt;&gt;"Pronta","",IFERROR(IF($G78="",0,IF($G78&lt;=$E78*(1-INDEX(Regras!$G$4:$G$103,MATCH($D78,Regras!$A$4:$A$103,0))),INDEX(Regras!$H$4:$H$103,MATCH($D78,Regras!$A$4:$A$103,0)),IF($G78&gt;=$E78*(1+INDEX(Regras!$G$4:$G$103,MATCH($D78,Regras!$A$4:$A$103,0))),INDEX(Regras!$I$4:$I$103,MATCH($D78,Regras!$A$4:$A$103,0)),0))),""))</f>
        <v/>
      </c>
      <c r="V78" s="27">
        <f>IF($AG78&lt;&gt;"Pronta","",IFERROR(IF($H78/$S78&lt;=INDEX(Regras!$J$4:$J$103,MATCH($D78,Regras!$A$4:$A$103,0)),INDEX(Regras!$L$4:$L$103,MATCH($D78,Regras!$A$4:$A$103,0)),IF($H78/$S78&gt;=INDEX(Regras!$K$4:$K$103,MATCH($D78,Regras!$A$4:$A$103,0)),INDEX(Regras!$M$4:$M$103,MATCH($D78,Regras!$A$4:$A$103,0)),0)),""))</f>
        <v/>
      </c>
      <c r="W78" s="27">
        <f>IF($AG78&lt;&gt;"Pronta","",SUM($T78:$V78))</f>
        <v/>
      </c>
      <c r="X78" s="27">
        <f>IF($AG78&lt;&gt;"Pronta","",IFERROR(MAX(-INDEX(Regras!$N$4:$N$103,MATCH($D78,Regras!$A$4:$A$103,0)),MIN(INDEX(Regras!$N$4:$N$103,MATCH($D78,Regras!$A$4:$A$103,0)),$W78)),""))</f>
        <v/>
      </c>
      <c r="Y78" s="19">
        <f>IF($AG78&lt;&gt;"Pronta","",IFERROR(ROUND($E78*(1+$X78),2),""))</f>
        <v/>
      </c>
      <c r="Z78" s="29">
        <f>IF(OR($AG78&lt;&gt;"Pronta",$Q78="",$R78=""),"",IFERROR(ROUND(MIN($R78,MAX($Q78,$Y78)),2),""))</f>
        <v/>
      </c>
      <c r="AA78" s="27">
        <f>IF(OR($E78="",$Z78=""),"",IFERROR($Z78/$E78-1,""))</f>
        <v/>
      </c>
      <c r="AB78" s="26">
        <f>IF($Z78="","",IF($Y78&lt;$Q78,"Piso",IF($Y78&gt;$R78,"Teto","Nenhuma")))</f>
        <v/>
      </c>
      <c r="AC78" s="21">
        <f>IF($A78="","",IF($AG78&lt;&gt;"Pronta","Aguardando dados válidos",_xlfn.TEXTJOIN(" | ",TRUE,IF($T78&gt;0,"Demanda: aumento",IF($T78&lt;0,"Demanda: redução","")),IF($U78&gt;0,"Concorrência: aumento",IF($U78&lt;0,"Concorrência: redução","")),IF($V78&gt;0,"Estoque: aumento",IF($V78&lt;0,"Estoque: redução","")),IF(ABS($W78-$X78)&gt;0.0000001,"Limite da rodada aplicado",""),IF($AB78="Piso","Piso vigente aplicado",IF($AB78="Teto","Teto aplicado","")),IF(AND($T78=0,$U78=0,$V78=0),"Sem gatilho de reajuste",""))))</f>
        <v/>
      </c>
      <c r="AD78" s="21">
        <f>IF(OR($A78="",$AG78&lt;&gt;"Pronta"),"",_xlfn.TEXTJOIN(" | ",TRUE,IF($E78&lt;$Q78,"Preço atual abaixo do piso",""),IF($E78&gt;$R78,"Preço atual acima do teto",""),IF(AND($N78&gt;0,$E78&gt;0,1-$N78/$E78&lt;$O78),"Margem estimada do preço atual abaixo do mínimo",""),IF($G78="","Preço concorrente não informado",""),IF($AB78="Piso","Recomendação travada no piso",""),IF($AB78="Teto","Recomendação travada no teto","")))</f>
        <v/>
      </c>
      <c r="AE78" s="19">
        <f>IF($AG78&lt;&gt;"Pronta","",IF($I78="Aprovar recomendação",$Z78,IF($I78="Manter preço atual",$E78,IF($I78="Definir manualmente",$J78,""))))</f>
        <v/>
      </c>
      <c r="AF78" s="21">
        <f>IF($A78="","",IF($AG78&lt;&gt;"Pronta","Aguardando correção",IF(OR($I78="",$I78="Pendente"),"Decisão pendente",IF(AND($I78="Definir manualmente",OR($J78="",$J78&lt;=0)),"Informe o preço manual",IF(OR($AE78&lt;$Q78,$AE78&gt;$R78),"Preço final fora do piso/teto","OK")))))</f>
        <v/>
      </c>
      <c r="AG78" s="26">
        <f>IF(COUNTA($A78:$K78)=0,"",IF(OR($A78="",$B78="",$C78="",$D78="",$E78="",$F78="",$H78=""),"Incompleta",IF(OR(COUNTIF($A$5:$A$204,$A78)&gt;1,NOT(ISNUMBER($B78)),COUNTIF(Produtos!$A$4:$A$103,$C78)&lt;&gt;1,IFERROR(INDEX(Produtos!$K$4:$K$103,MATCH($C78,Produtos!$A$4:$A$103,0))&lt;&gt;"Ativo",TRUE),IFERROR(INDEX(Produtos!$L$4:$L$103,MATCH($C78,Produtos!$A$4:$A$103,0))&lt;&gt;"OK",TRUE),COUNTIF(Regras!$A$4:$A$103,$D78)&lt;&gt;1,IFERROR(INDEX(Regras!$O$4:$O$103,MATCH($D78,Regras!$A$4:$A$103,0))&lt;&gt;"Sim",TRUE),IFERROR(INDEX(Regras!$P$4:$P$103,MATCH($D78,Regras!$A$4:$A$103,0))&lt;&gt;"OK",TRUE),NOT(ISNUMBER($E78)),$E78&lt;=0,NOT(ISNUMBER($F78)),$F78&lt;0,$F78&gt;5,NOT(ISNUMBER($H78)),$H78&lt;0,$H78&lt;&gt;INT($H78),AND($G78&lt;&gt;"",OR(NOT(ISNUMBER($G78)),$G78&lt;=0))),"Revisar","Pronta")))</f>
        <v/>
      </c>
    </row>
    <row r="79">
      <c r="A79" s="16" t="n"/>
      <c r="B79" s="24" t="n"/>
      <c r="C79" s="16" t="n"/>
      <c r="D79" s="16" t="n"/>
      <c r="E79" s="17" t="n"/>
      <c r="F79" s="18" t="n"/>
      <c r="G79" s="17" t="n"/>
      <c r="H79" s="20" t="n"/>
      <c r="I79" s="16" t="n"/>
      <c r="J79" s="17" t="n"/>
      <c r="K79" s="25" t="n"/>
      <c r="L79" s="26">
        <f>IF($C79="","",IFERROR(INDEX(Produtos!$B$4:$B$103,MATCH($C79,Produtos!$A$4:$A$103,0)),""))</f>
        <v/>
      </c>
      <c r="M79" s="26">
        <f>IF($C79="","",IFERROR(INDEX(Produtos!$C$4:$C$103,MATCH($C79,Produtos!$A$4:$A$103,0)),""))</f>
        <v/>
      </c>
      <c r="N79" s="19">
        <f>IF($C79="","",IFERROR(INDEX(Produtos!$D$4:$D$103,MATCH($C79,Produtos!$A$4:$A$103,0)),""))</f>
        <v/>
      </c>
      <c r="O79" s="27">
        <f>IF($C79="","",IFERROR(INDEX(Produtos!$E$4:$E$103,MATCH($C79,Produtos!$A$4:$A$103,0)),""))</f>
        <v/>
      </c>
      <c r="P79" s="19">
        <f>IF($C79="","",IFERROR(INDEX(Produtos!$G$4:$G$103,MATCH($C79,Produtos!$A$4:$A$103,0)),""))</f>
        <v/>
      </c>
      <c r="Q79" s="19">
        <f>IF($C79="","",IFERROR(INDEX(Produtos!$H$4:$H$103,MATCH($C79,Produtos!$A$4:$A$103,0)),""))</f>
        <v/>
      </c>
      <c r="R79" s="19">
        <f>IF($C79="","",IFERROR(INDEX(Produtos!$I$4:$I$103,MATCH($C79,Produtos!$A$4:$A$103,0)),""))</f>
        <v/>
      </c>
      <c r="S79" s="28">
        <f>IF($C79="","",IFERROR(INDEX(Produtos!$J$4:$J$103,MATCH($C79,Produtos!$A$4:$A$103,0)),""))</f>
        <v/>
      </c>
      <c r="T79" s="27">
        <f>IF($AG79&lt;&gt;"Pronta","",IFERROR(IF($F79&lt;=INDEX(Regras!$C$4:$C$103,MATCH($D79,Regras!$A$4:$A$103,0)),INDEX(Regras!$E$4:$E$103,MATCH($D79,Regras!$A$4:$A$103,0)),IF($F79&gt;=INDEX(Regras!$D$4:$D$103,MATCH($D79,Regras!$A$4:$A$103,0)),INDEX(Regras!$F$4:$F$103,MATCH($D79,Regras!$A$4:$A$103,0)),0)),""))</f>
        <v/>
      </c>
      <c r="U79" s="27">
        <f>IF($AG79&lt;&gt;"Pronta","",IFERROR(IF($G79="",0,IF($G79&lt;=$E79*(1-INDEX(Regras!$G$4:$G$103,MATCH($D79,Regras!$A$4:$A$103,0))),INDEX(Regras!$H$4:$H$103,MATCH($D79,Regras!$A$4:$A$103,0)),IF($G79&gt;=$E79*(1+INDEX(Regras!$G$4:$G$103,MATCH($D79,Regras!$A$4:$A$103,0))),INDEX(Regras!$I$4:$I$103,MATCH($D79,Regras!$A$4:$A$103,0)),0))),""))</f>
        <v/>
      </c>
      <c r="V79" s="27">
        <f>IF($AG79&lt;&gt;"Pronta","",IFERROR(IF($H79/$S79&lt;=INDEX(Regras!$J$4:$J$103,MATCH($D79,Regras!$A$4:$A$103,0)),INDEX(Regras!$L$4:$L$103,MATCH($D79,Regras!$A$4:$A$103,0)),IF($H79/$S79&gt;=INDEX(Regras!$K$4:$K$103,MATCH($D79,Regras!$A$4:$A$103,0)),INDEX(Regras!$M$4:$M$103,MATCH($D79,Regras!$A$4:$A$103,0)),0)),""))</f>
        <v/>
      </c>
      <c r="W79" s="27">
        <f>IF($AG79&lt;&gt;"Pronta","",SUM($T79:$V79))</f>
        <v/>
      </c>
      <c r="X79" s="27">
        <f>IF($AG79&lt;&gt;"Pronta","",IFERROR(MAX(-INDEX(Regras!$N$4:$N$103,MATCH($D79,Regras!$A$4:$A$103,0)),MIN(INDEX(Regras!$N$4:$N$103,MATCH($D79,Regras!$A$4:$A$103,0)),$W79)),""))</f>
        <v/>
      </c>
      <c r="Y79" s="19">
        <f>IF($AG79&lt;&gt;"Pronta","",IFERROR(ROUND($E79*(1+$X79),2),""))</f>
        <v/>
      </c>
      <c r="Z79" s="29">
        <f>IF(OR($AG79&lt;&gt;"Pronta",$Q79="",$R79=""),"",IFERROR(ROUND(MIN($R79,MAX($Q79,$Y79)),2),""))</f>
        <v/>
      </c>
      <c r="AA79" s="27">
        <f>IF(OR($E79="",$Z79=""),"",IFERROR($Z79/$E79-1,""))</f>
        <v/>
      </c>
      <c r="AB79" s="26">
        <f>IF($Z79="","",IF($Y79&lt;$Q79,"Piso",IF($Y79&gt;$R79,"Teto","Nenhuma")))</f>
        <v/>
      </c>
      <c r="AC79" s="21">
        <f>IF($A79="","",IF($AG79&lt;&gt;"Pronta","Aguardando dados válidos",_xlfn.TEXTJOIN(" | ",TRUE,IF($T79&gt;0,"Demanda: aumento",IF($T79&lt;0,"Demanda: redução","")),IF($U79&gt;0,"Concorrência: aumento",IF($U79&lt;0,"Concorrência: redução","")),IF($V79&gt;0,"Estoque: aumento",IF($V79&lt;0,"Estoque: redução","")),IF(ABS($W79-$X79)&gt;0.0000001,"Limite da rodada aplicado",""),IF($AB79="Piso","Piso vigente aplicado",IF($AB79="Teto","Teto aplicado","")),IF(AND($T79=0,$U79=0,$V79=0),"Sem gatilho de reajuste",""))))</f>
        <v/>
      </c>
      <c r="AD79" s="21">
        <f>IF(OR($A79="",$AG79&lt;&gt;"Pronta"),"",_xlfn.TEXTJOIN(" | ",TRUE,IF($E79&lt;$Q79,"Preço atual abaixo do piso",""),IF($E79&gt;$R79,"Preço atual acima do teto",""),IF(AND($N79&gt;0,$E79&gt;0,1-$N79/$E79&lt;$O79),"Margem estimada do preço atual abaixo do mínimo",""),IF($G79="","Preço concorrente não informado",""),IF($AB79="Piso","Recomendação travada no piso",""),IF($AB79="Teto","Recomendação travada no teto","")))</f>
        <v/>
      </c>
      <c r="AE79" s="19">
        <f>IF($AG79&lt;&gt;"Pronta","",IF($I79="Aprovar recomendação",$Z79,IF($I79="Manter preço atual",$E79,IF($I79="Definir manualmente",$J79,""))))</f>
        <v/>
      </c>
      <c r="AF79" s="21">
        <f>IF($A79="","",IF($AG79&lt;&gt;"Pronta","Aguardando correção",IF(OR($I79="",$I79="Pendente"),"Decisão pendente",IF(AND($I79="Definir manualmente",OR($J79="",$J79&lt;=0)),"Informe o preço manual",IF(OR($AE79&lt;$Q79,$AE79&gt;$R79),"Preço final fora do piso/teto","OK")))))</f>
        <v/>
      </c>
      <c r="AG79" s="26">
        <f>IF(COUNTA($A79:$K79)=0,"",IF(OR($A79="",$B79="",$C79="",$D79="",$E79="",$F79="",$H79=""),"Incompleta",IF(OR(COUNTIF($A$5:$A$204,$A79)&gt;1,NOT(ISNUMBER($B79)),COUNTIF(Produtos!$A$4:$A$103,$C79)&lt;&gt;1,IFERROR(INDEX(Produtos!$K$4:$K$103,MATCH($C79,Produtos!$A$4:$A$103,0))&lt;&gt;"Ativo",TRUE),IFERROR(INDEX(Produtos!$L$4:$L$103,MATCH($C79,Produtos!$A$4:$A$103,0))&lt;&gt;"OK",TRUE),COUNTIF(Regras!$A$4:$A$103,$D79)&lt;&gt;1,IFERROR(INDEX(Regras!$O$4:$O$103,MATCH($D79,Regras!$A$4:$A$103,0))&lt;&gt;"Sim",TRUE),IFERROR(INDEX(Regras!$P$4:$P$103,MATCH($D79,Regras!$A$4:$A$103,0))&lt;&gt;"OK",TRUE),NOT(ISNUMBER($E79)),$E79&lt;=0,NOT(ISNUMBER($F79)),$F79&lt;0,$F79&gt;5,NOT(ISNUMBER($H79)),$H79&lt;0,$H79&lt;&gt;INT($H79),AND($G79&lt;&gt;"",OR(NOT(ISNUMBER($G79)),$G79&lt;=0))),"Revisar","Pronta")))</f>
        <v/>
      </c>
    </row>
    <row r="80">
      <c r="A80" s="16" t="n"/>
      <c r="B80" s="24" t="n"/>
      <c r="C80" s="16" t="n"/>
      <c r="D80" s="16" t="n"/>
      <c r="E80" s="17" t="n"/>
      <c r="F80" s="18" t="n"/>
      <c r="G80" s="17" t="n"/>
      <c r="H80" s="20" t="n"/>
      <c r="I80" s="16" t="n"/>
      <c r="J80" s="17" t="n"/>
      <c r="K80" s="25" t="n"/>
      <c r="L80" s="26">
        <f>IF($C80="","",IFERROR(INDEX(Produtos!$B$4:$B$103,MATCH($C80,Produtos!$A$4:$A$103,0)),""))</f>
        <v/>
      </c>
      <c r="M80" s="26">
        <f>IF($C80="","",IFERROR(INDEX(Produtos!$C$4:$C$103,MATCH($C80,Produtos!$A$4:$A$103,0)),""))</f>
        <v/>
      </c>
      <c r="N80" s="19">
        <f>IF($C80="","",IFERROR(INDEX(Produtos!$D$4:$D$103,MATCH($C80,Produtos!$A$4:$A$103,0)),""))</f>
        <v/>
      </c>
      <c r="O80" s="27">
        <f>IF($C80="","",IFERROR(INDEX(Produtos!$E$4:$E$103,MATCH($C80,Produtos!$A$4:$A$103,0)),""))</f>
        <v/>
      </c>
      <c r="P80" s="19">
        <f>IF($C80="","",IFERROR(INDEX(Produtos!$G$4:$G$103,MATCH($C80,Produtos!$A$4:$A$103,0)),""))</f>
        <v/>
      </c>
      <c r="Q80" s="19">
        <f>IF($C80="","",IFERROR(INDEX(Produtos!$H$4:$H$103,MATCH($C80,Produtos!$A$4:$A$103,0)),""))</f>
        <v/>
      </c>
      <c r="R80" s="19">
        <f>IF($C80="","",IFERROR(INDEX(Produtos!$I$4:$I$103,MATCH($C80,Produtos!$A$4:$A$103,0)),""))</f>
        <v/>
      </c>
      <c r="S80" s="28">
        <f>IF($C80="","",IFERROR(INDEX(Produtos!$J$4:$J$103,MATCH($C80,Produtos!$A$4:$A$103,0)),""))</f>
        <v/>
      </c>
      <c r="T80" s="27">
        <f>IF($AG80&lt;&gt;"Pronta","",IFERROR(IF($F80&lt;=INDEX(Regras!$C$4:$C$103,MATCH($D80,Regras!$A$4:$A$103,0)),INDEX(Regras!$E$4:$E$103,MATCH($D80,Regras!$A$4:$A$103,0)),IF($F80&gt;=INDEX(Regras!$D$4:$D$103,MATCH($D80,Regras!$A$4:$A$103,0)),INDEX(Regras!$F$4:$F$103,MATCH($D80,Regras!$A$4:$A$103,0)),0)),""))</f>
        <v/>
      </c>
      <c r="U80" s="27">
        <f>IF($AG80&lt;&gt;"Pronta","",IFERROR(IF($G80="",0,IF($G80&lt;=$E80*(1-INDEX(Regras!$G$4:$G$103,MATCH($D80,Regras!$A$4:$A$103,0))),INDEX(Regras!$H$4:$H$103,MATCH($D80,Regras!$A$4:$A$103,0)),IF($G80&gt;=$E80*(1+INDEX(Regras!$G$4:$G$103,MATCH($D80,Regras!$A$4:$A$103,0))),INDEX(Regras!$I$4:$I$103,MATCH($D80,Regras!$A$4:$A$103,0)),0))),""))</f>
        <v/>
      </c>
      <c r="V80" s="27">
        <f>IF($AG80&lt;&gt;"Pronta","",IFERROR(IF($H80/$S80&lt;=INDEX(Regras!$J$4:$J$103,MATCH($D80,Regras!$A$4:$A$103,0)),INDEX(Regras!$L$4:$L$103,MATCH($D80,Regras!$A$4:$A$103,0)),IF($H80/$S80&gt;=INDEX(Regras!$K$4:$K$103,MATCH($D80,Regras!$A$4:$A$103,0)),INDEX(Regras!$M$4:$M$103,MATCH($D80,Regras!$A$4:$A$103,0)),0)),""))</f>
        <v/>
      </c>
      <c r="W80" s="27">
        <f>IF($AG80&lt;&gt;"Pronta","",SUM($T80:$V80))</f>
        <v/>
      </c>
      <c r="X80" s="27">
        <f>IF($AG80&lt;&gt;"Pronta","",IFERROR(MAX(-INDEX(Regras!$N$4:$N$103,MATCH($D80,Regras!$A$4:$A$103,0)),MIN(INDEX(Regras!$N$4:$N$103,MATCH($D80,Regras!$A$4:$A$103,0)),$W80)),""))</f>
        <v/>
      </c>
      <c r="Y80" s="19">
        <f>IF($AG80&lt;&gt;"Pronta","",IFERROR(ROUND($E80*(1+$X80),2),""))</f>
        <v/>
      </c>
      <c r="Z80" s="29">
        <f>IF(OR($AG80&lt;&gt;"Pronta",$Q80="",$R80=""),"",IFERROR(ROUND(MIN($R80,MAX($Q80,$Y80)),2),""))</f>
        <v/>
      </c>
      <c r="AA80" s="27">
        <f>IF(OR($E80="",$Z80=""),"",IFERROR($Z80/$E80-1,""))</f>
        <v/>
      </c>
      <c r="AB80" s="26">
        <f>IF($Z80="","",IF($Y80&lt;$Q80,"Piso",IF($Y80&gt;$R80,"Teto","Nenhuma")))</f>
        <v/>
      </c>
      <c r="AC80" s="21">
        <f>IF($A80="","",IF($AG80&lt;&gt;"Pronta","Aguardando dados válidos",_xlfn.TEXTJOIN(" | ",TRUE,IF($T80&gt;0,"Demanda: aumento",IF($T80&lt;0,"Demanda: redução","")),IF($U80&gt;0,"Concorrência: aumento",IF($U80&lt;0,"Concorrência: redução","")),IF($V80&gt;0,"Estoque: aumento",IF($V80&lt;0,"Estoque: redução","")),IF(ABS($W80-$X80)&gt;0.0000001,"Limite da rodada aplicado",""),IF($AB80="Piso","Piso vigente aplicado",IF($AB80="Teto","Teto aplicado","")),IF(AND($T80=0,$U80=0,$V80=0),"Sem gatilho de reajuste",""))))</f>
        <v/>
      </c>
      <c r="AD80" s="21">
        <f>IF(OR($A80="",$AG80&lt;&gt;"Pronta"),"",_xlfn.TEXTJOIN(" | ",TRUE,IF($E80&lt;$Q80,"Preço atual abaixo do piso",""),IF($E80&gt;$R80,"Preço atual acima do teto",""),IF(AND($N80&gt;0,$E80&gt;0,1-$N80/$E80&lt;$O80),"Margem estimada do preço atual abaixo do mínimo",""),IF($G80="","Preço concorrente não informado",""),IF($AB80="Piso","Recomendação travada no piso",""),IF($AB80="Teto","Recomendação travada no teto","")))</f>
        <v/>
      </c>
      <c r="AE80" s="19">
        <f>IF($AG80&lt;&gt;"Pronta","",IF($I80="Aprovar recomendação",$Z80,IF($I80="Manter preço atual",$E80,IF($I80="Definir manualmente",$J80,""))))</f>
        <v/>
      </c>
      <c r="AF80" s="21">
        <f>IF($A80="","",IF($AG80&lt;&gt;"Pronta","Aguardando correção",IF(OR($I80="",$I80="Pendente"),"Decisão pendente",IF(AND($I80="Definir manualmente",OR($J80="",$J80&lt;=0)),"Informe o preço manual",IF(OR($AE80&lt;$Q80,$AE80&gt;$R80),"Preço final fora do piso/teto","OK")))))</f>
        <v/>
      </c>
      <c r="AG80" s="26">
        <f>IF(COUNTA($A80:$K80)=0,"",IF(OR($A80="",$B80="",$C80="",$D80="",$E80="",$F80="",$H80=""),"Incompleta",IF(OR(COUNTIF($A$5:$A$204,$A80)&gt;1,NOT(ISNUMBER($B80)),COUNTIF(Produtos!$A$4:$A$103,$C80)&lt;&gt;1,IFERROR(INDEX(Produtos!$K$4:$K$103,MATCH($C80,Produtos!$A$4:$A$103,0))&lt;&gt;"Ativo",TRUE),IFERROR(INDEX(Produtos!$L$4:$L$103,MATCH($C80,Produtos!$A$4:$A$103,0))&lt;&gt;"OK",TRUE),COUNTIF(Regras!$A$4:$A$103,$D80)&lt;&gt;1,IFERROR(INDEX(Regras!$O$4:$O$103,MATCH($D80,Regras!$A$4:$A$103,0))&lt;&gt;"Sim",TRUE),IFERROR(INDEX(Regras!$P$4:$P$103,MATCH($D80,Regras!$A$4:$A$103,0))&lt;&gt;"OK",TRUE),NOT(ISNUMBER($E80)),$E80&lt;=0,NOT(ISNUMBER($F80)),$F80&lt;0,$F80&gt;5,NOT(ISNUMBER($H80)),$H80&lt;0,$H80&lt;&gt;INT($H80),AND($G80&lt;&gt;"",OR(NOT(ISNUMBER($G80)),$G80&lt;=0))),"Revisar","Pronta")))</f>
        <v/>
      </c>
    </row>
    <row r="81">
      <c r="A81" s="16" t="n"/>
      <c r="B81" s="24" t="n"/>
      <c r="C81" s="16" t="n"/>
      <c r="D81" s="16" t="n"/>
      <c r="E81" s="17" t="n"/>
      <c r="F81" s="18" t="n"/>
      <c r="G81" s="17" t="n"/>
      <c r="H81" s="20" t="n"/>
      <c r="I81" s="16" t="n"/>
      <c r="J81" s="17" t="n"/>
      <c r="K81" s="25" t="n"/>
      <c r="L81" s="26">
        <f>IF($C81="","",IFERROR(INDEX(Produtos!$B$4:$B$103,MATCH($C81,Produtos!$A$4:$A$103,0)),""))</f>
        <v/>
      </c>
      <c r="M81" s="26">
        <f>IF($C81="","",IFERROR(INDEX(Produtos!$C$4:$C$103,MATCH($C81,Produtos!$A$4:$A$103,0)),""))</f>
        <v/>
      </c>
      <c r="N81" s="19">
        <f>IF($C81="","",IFERROR(INDEX(Produtos!$D$4:$D$103,MATCH($C81,Produtos!$A$4:$A$103,0)),""))</f>
        <v/>
      </c>
      <c r="O81" s="27">
        <f>IF($C81="","",IFERROR(INDEX(Produtos!$E$4:$E$103,MATCH($C81,Produtos!$A$4:$A$103,0)),""))</f>
        <v/>
      </c>
      <c r="P81" s="19">
        <f>IF($C81="","",IFERROR(INDEX(Produtos!$G$4:$G$103,MATCH($C81,Produtos!$A$4:$A$103,0)),""))</f>
        <v/>
      </c>
      <c r="Q81" s="19">
        <f>IF($C81="","",IFERROR(INDEX(Produtos!$H$4:$H$103,MATCH($C81,Produtos!$A$4:$A$103,0)),""))</f>
        <v/>
      </c>
      <c r="R81" s="19">
        <f>IF($C81="","",IFERROR(INDEX(Produtos!$I$4:$I$103,MATCH($C81,Produtos!$A$4:$A$103,0)),""))</f>
        <v/>
      </c>
      <c r="S81" s="28">
        <f>IF($C81="","",IFERROR(INDEX(Produtos!$J$4:$J$103,MATCH($C81,Produtos!$A$4:$A$103,0)),""))</f>
        <v/>
      </c>
      <c r="T81" s="27">
        <f>IF($AG81&lt;&gt;"Pronta","",IFERROR(IF($F81&lt;=INDEX(Regras!$C$4:$C$103,MATCH($D81,Regras!$A$4:$A$103,0)),INDEX(Regras!$E$4:$E$103,MATCH($D81,Regras!$A$4:$A$103,0)),IF($F81&gt;=INDEX(Regras!$D$4:$D$103,MATCH($D81,Regras!$A$4:$A$103,0)),INDEX(Regras!$F$4:$F$103,MATCH($D81,Regras!$A$4:$A$103,0)),0)),""))</f>
        <v/>
      </c>
      <c r="U81" s="27">
        <f>IF($AG81&lt;&gt;"Pronta","",IFERROR(IF($G81="",0,IF($G81&lt;=$E81*(1-INDEX(Regras!$G$4:$G$103,MATCH($D81,Regras!$A$4:$A$103,0))),INDEX(Regras!$H$4:$H$103,MATCH($D81,Regras!$A$4:$A$103,0)),IF($G81&gt;=$E81*(1+INDEX(Regras!$G$4:$G$103,MATCH($D81,Regras!$A$4:$A$103,0))),INDEX(Regras!$I$4:$I$103,MATCH($D81,Regras!$A$4:$A$103,0)),0))),""))</f>
        <v/>
      </c>
      <c r="V81" s="27">
        <f>IF($AG81&lt;&gt;"Pronta","",IFERROR(IF($H81/$S81&lt;=INDEX(Regras!$J$4:$J$103,MATCH($D81,Regras!$A$4:$A$103,0)),INDEX(Regras!$L$4:$L$103,MATCH($D81,Regras!$A$4:$A$103,0)),IF($H81/$S81&gt;=INDEX(Regras!$K$4:$K$103,MATCH($D81,Regras!$A$4:$A$103,0)),INDEX(Regras!$M$4:$M$103,MATCH($D81,Regras!$A$4:$A$103,0)),0)),""))</f>
        <v/>
      </c>
      <c r="W81" s="27">
        <f>IF($AG81&lt;&gt;"Pronta","",SUM($T81:$V81))</f>
        <v/>
      </c>
      <c r="X81" s="27">
        <f>IF($AG81&lt;&gt;"Pronta","",IFERROR(MAX(-INDEX(Regras!$N$4:$N$103,MATCH($D81,Regras!$A$4:$A$103,0)),MIN(INDEX(Regras!$N$4:$N$103,MATCH($D81,Regras!$A$4:$A$103,0)),$W81)),""))</f>
        <v/>
      </c>
      <c r="Y81" s="19">
        <f>IF($AG81&lt;&gt;"Pronta","",IFERROR(ROUND($E81*(1+$X81),2),""))</f>
        <v/>
      </c>
      <c r="Z81" s="29">
        <f>IF(OR($AG81&lt;&gt;"Pronta",$Q81="",$R81=""),"",IFERROR(ROUND(MIN($R81,MAX($Q81,$Y81)),2),""))</f>
        <v/>
      </c>
      <c r="AA81" s="27">
        <f>IF(OR($E81="",$Z81=""),"",IFERROR($Z81/$E81-1,""))</f>
        <v/>
      </c>
      <c r="AB81" s="26">
        <f>IF($Z81="","",IF($Y81&lt;$Q81,"Piso",IF($Y81&gt;$R81,"Teto","Nenhuma")))</f>
        <v/>
      </c>
      <c r="AC81" s="21">
        <f>IF($A81="","",IF($AG81&lt;&gt;"Pronta","Aguardando dados válidos",_xlfn.TEXTJOIN(" | ",TRUE,IF($T81&gt;0,"Demanda: aumento",IF($T81&lt;0,"Demanda: redução","")),IF($U81&gt;0,"Concorrência: aumento",IF($U81&lt;0,"Concorrência: redução","")),IF($V81&gt;0,"Estoque: aumento",IF($V81&lt;0,"Estoque: redução","")),IF(ABS($W81-$X81)&gt;0.0000001,"Limite da rodada aplicado",""),IF($AB81="Piso","Piso vigente aplicado",IF($AB81="Teto","Teto aplicado","")),IF(AND($T81=0,$U81=0,$V81=0),"Sem gatilho de reajuste",""))))</f>
        <v/>
      </c>
      <c r="AD81" s="21">
        <f>IF(OR($A81="",$AG81&lt;&gt;"Pronta"),"",_xlfn.TEXTJOIN(" | ",TRUE,IF($E81&lt;$Q81,"Preço atual abaixo do piso",""),IF($E81&gt;$R81,"Preço atual acima do teto",""),IF(AND($N81&gt;0,$E81&gt;0,1-$N81/$E81&lt;$O81),"Margem estimada do preço atual abaixo do mínimo",""),IF($G81="","Preço concorrente não informado",""),IF($AB81="Piso","Recomendação travada no piso",""),IF($AB81="Teto","Recomendação travada no teto","")))</f>
        <v/>
      </c>
      <c r="AE81" s="19">
        <f>IF($AG81&lt;&gt;"Pronta","",IF($I81="Aprovar recomendação",$Z81,IF($I81="Manter preço atual",$E81,IF($I81="Definir manualmente",$J81,""))))</f>
        <v/>
      </c>
      <c r="AF81" s="21">
        <f>IF($A81="","",IF($AG81&lt;&gt;"Pronta","Aguardando correção",IF(OR($I81="",$I81="Pendente"),"Decisão pendente",IF(AND($I81="Definir manualmente",OR($J81="",$J81&lt;=0)),"Informe o preço manual",IF(OR($AE81&lt;$Q81,$AE81&gt;$R81),"Preço final fora do piso/teto","OK")))))</f>
        <v/>
      </c>
      <c r="AG81" s="26">
        <f>IF(COUNTA($A81:$K81)=0,"",IF(OR($A81="",$B81="",$C81="",$D81="",$E81="",$F81="",$H81=""),"Incompleta",IF(OR(COUNTIF($A$5:$A$204,$A81)&gt;1,NOT(ISNUMBER($B81)),COUNTIF(Produtos!$A$4:$A$103,$C81)&lt;&gt;1,IFERROR(INDEX(Produtos!$K$4:$K$103,MATCH($C81,Produtos!$A$4:$A$103,0))&lt;&gt;"Ativo",TRUE),IFERROR(INDEX(Produtos!$L$4:$L$103,MATCH($C81,Produtos!$A$4:$A$103,0))&lt;&gt;"OK",TRUE),COUNTIF(Regras!$A$4:$A$103,$D81)&lt;&gt;1,IFERROR(INDEX(Regras!$O$4:$O$103,MATCH($D81,Regras!$A$4:$A$103,0))&lt;&gt;"Sim",TRUE),IFERROR(INDEX(Regras!$P$4:$P$103,MATCH($D81,Regras!$A$4:$A$103,0))&lt;&gt;"OK",TRUE),NOT(ISNUMBER($E81)),$E81&lt;=0,NOT(ISNUMBER($F81)),$F81&lt;0,$F81&gt;5,NOT(ISNUMBER($H81)),$H81&lt;0,$H81&lt;&gt;INT($H81),AND($G81&lt;&gt;"",OR(NOT(ISNUMBER($G81)),$G81&lt;=0))),"Revisar","Pronta")))</f>
        <v/>
      </c>
    </row>
    <row r="82">
      <c r="A82" s="16" t="n"/>
      <c r="B82" s="24" t="n"/>
      <c r="C82" s="16" t="n"/>
      <c r="D82" s="16" t="n"/>
      <c r="E82" s="17" t="n"/>
      <c r="F82" s="18" t="n"/>
      <c r="G82" s="17" t="n"/>
      <c r="H82" s="20" t="n"/>
      <c r="I82" s="16" t="n"/>
      <c r="J82" s="17" t="n"/>
      <c r="K82" s="25" t="n"/>
      <c r="L82" s="26">
        <f>IF($C82="","",IFERROR(INDEX(Produtos!$B$4:$B$103,MATCH($C82,Produtos!$A$4:$A$103,0)),""))</f>
        <v/>
      </c>
      <c r="M82" s="26">
        <f>IF($C82="","",IFERROR(INDEX(Produtos!$C$4:$C$103,MATCH($C82,Produtos!$A$4:$A$103,0)),""))</f>
        <v/>
      </c>
      <c r="N82" s="19">
        <f>IF($C82="","",IFERROR(INDEX(Produtos!$D$4:$D$103,MATCH($C82,Produtos!$A$4:$A$103,0)),""))</f>
        <v/>
      </c>
      <c r="O82" s="27">
        <f>IF($C82="","",IFERROR(INDEX(Produtos!$E$4:$E$103,MATCH($C82,Produtos!$A$4:$A$103,0)),""))</f>
        <v/>
      </c>
      <c r="P82" s="19">
        <f>IF($C82="","",IFERROR(INDEX(Produtos!$G$4:$G$103,MATCH($C82,Produtos!$A$4:$A$103,0)),""))</f>
        <v/>
      </c>
      <c r="Q82" s="19">
        <f>IF($C82="","",IFERROR(INDEX(Produtos!$H$4:$H$103,MATCH($C82,Produtos!$A$4:$A$103,0)),""))</f>
        <v/>
      </c>
      <c r="R82" s="19">
        <f>IF($C82="","",IFERROR(INDEX(Produtos!$I$4:$I$103,MATCH($C82,Produtos!$A$4:$A$103,0)),""))</f>
        <v/>
      </c>
      <c r="S82" s="28">
        <f>IF($C82="","",IFERROR(INDEX(Produtos!$J$4:$J$103,MATCH($C82,Produtos!$A$4:$A$103,0)),""))</f>
        <v/>
      </c>
      <c r="T82" s="27">
        <f>IF($AG82&lt;&gt;"Pronta","",IFERROR(IF($F82&lt;=INDEX(Regras!$C$4:$C$103,MATCH($D82,Regras!$A$4:$A$103,0)),INDEX(Regras!$E$4:$E$103,MATCH($D82,Regras!$A$4:$A$103,0)),IF($F82&gt;=INDEX(Regras!$D$4:$D$103,MATCH($D82,Regras!$A$4:$A$103,0)),INDEX(Regras!$F$4:$F$103,MATCH($D82,Regras!$A$4:$A$103,0)),0)),""))</f>
        <v/>
      </c>
      <c r="U82" s="27">
        <f>IF($AG82&lt;&gt;"Pronta","",IFERROR(IF($G82="",0,IF($G82&lt;=$E82*(1-INDEX(Regras!$G$4:$G$103,MATCH($D82,Regras!$A$4:$A$103,0))),INDEX(Regras!$H$4:$H$103,MATCH($D82,Regras!$A$4:$A$103,0)),IF($G82&gt;=$E82*(1+INDEX(Regras!$G$4:$G$103,MATCH($D82,Regras!$A$4:$A$103,0))),INDEX(Regras!$I$4:$I$103,MATCH($D82,Regras!$A$4:$A$103,0)),0))),""))</f>
        <v/>
      </c>
      <c r="V82" s="27">
        <f>IF($AG82&lt;&gt;"Pronta","",IFERROR(IF($H82/$S82&lt;=INDEX(Regras!$J$4:$J$103,MATCH($D82,Regras!$A$4:$A$103,0)),INDEX(Regras!$L$4:$L$103,MATCH($D82,Regras!$A$4:$A$103,0)),IF($H82/$S82&gt;=INDEX(Regras!$K$4:$K$103,MATCH($D82,Regras!$A$4:$A$103,0)),INDEX(Regras!$M$4:$M$103,MATCH($D82,Regras!$A$4:$A$103,0)),0)),""))</f>
        <v/>
      </c>
      <c r="W82" s="27">
        <f>IF($AG82&lt;&gt;"Pronta","",SUM($T82:$V82))</f>
        <v/>
      </c>
      <c r="X82" s="27">
        <f>IF($AG82&lt;&gt;"Pronta","",IFERROR(MAX(-INDEX(Regras!$N$4:$N$103,MATCH($D82,Regras!$A$4:$A$103,0)),MIN(INDEX(Regras!$N$4:$N$103,MATCH($D82,Regras!$A$4:$A$103,0)),$W82)),""))</f>
        <v/>
      </c>
      <c r="Y82" s="19">
        <f>IF($AG82&lt;&gt;"Pronta","",IFERROR(ROUND($E82*(1+$X82),2),""))</f>
        <v/>
      </c>
      <c r="Z82" s="29">
        <f>IF(OR($AG82&lt;&gt;"Pronta",$Q82="",$R82=""),"",IFERROR(ROUND(MIN($R82,MAX($Q82,$Y82)),2),""))</f>
        <v/>
      </c>
      <c r="AA82" s="27">
        <f>IF(OR($E82="",$Z82=""),"",IFERROR($Z82/$E82-1,""))</f>
        <v/>
      </c>
      <c r="AB82" s="26">
        <f>IF($Z82="","",IF($Y82&lt;$Q82,"Piso",IF($Y82&gt;$R82,"Teto","Nenhuma")))</f>
        <v/>
      </c>
      <c r="AC82" s="21">
        <f>IF($A82="","",IF($AG82&lt;&gt;"Pronta","Aguardando dados válidos",_xlfn.TEXTJOIN(" | ",TRUE,IF($T82&gt;0,"Demanda: aumento",IF($T82&lt;0,"Demanda: redução","")),IF($U82&gt;0,"Concorrência: aumento",IF($U82&lt;0,"Concorrência: redução","")),IF($V82&gt;0,"Estoque: aumento",IF($V82&lt;0,"Estoque: redução","")),IF(ABS($W82-$X82)&gt;0.0000001,"Limite da rodada aplicado",""),IF($AB82="Piso","Piso vigente aplicado",IF($AB82="Teto","Teto aplicado","")),IF(AND($T82=0,$U82=0,$V82=0),"Sem gatilho de reajuste",""))))</f>
        <v/>
      </c>
      <c r="AD82" s="21">
        <f>IF(OR($A82="",$AG82&lt;&gt;"Pronta"),"",_xlfn.TEXTJOIN(" | ",TRUE,IF($E82&lt;$Q82,"Preço atual abaixo do piso",""),IF($E82&gt;$R82,"Preço atual acima do teto",""),IF(AND($N82&gt;0,$E82&gt;0,1-$N82/$E82&lt;$O82),"Margem estimada do preço atual abaixo do mínimo",""),IF($G82="","Preço concorrente não informado",""),IF($AB82="Piso","Recomendação travada no piso",""),IF($AB82="Teto","Recomendação travada no teto","")))</f>
        <v/>
      </c>
      <c r="AE82" s="19">
        <f>IF($AG82&lt;&gt;"Pronta","",IF($I82="Aprovar recomendação",$Z82,IF($I82="Manter preço atual",$E82,IF($I82="Definir manualmente",$J82,""))))</f>
        <v/>
      </c>
      <c r="AF82" s="21">
        <f>IF($A82="","",IF($AG82&lt;&gt;"Pronta","Aguardando correção",IF(OR($I82="",$I82="Pendente"),"Decisão pendente",IF(AND($I82="Definir manualmente",OR($J82="",$J82&lt;=0)),"Informe o preço manual",IF(OR($AE82&lt;$Q82,$AE82&gt;$R82),"Preço final fora do piso/teto","OK")))))</f>
        <v/>
      </c>
      <c r="AG82" s="26">
        <f>IF(COUNTA($A82:$K82)=0,"",IF(OR($A82="",$B82="",$C82="",$D82="",$E82="",$F82="",$H82=""),"Incompleta",IF(OR(COUNTIF($A$5:$A$204,$A82)&gt;1,NOT(ISNUMBER($B82)),COUNTIF(Produtos!$A$4:$A$103,$C82)&lt;&gt;1,IFERROR(INDEX(Produtos!$K$4:$K$103,MATCH($C82,Produtos!$A$4:$A$103,0))&lt;&gt;"Ativo",TRUE),IFERROR(INDEX(Produtos!$L$4:$L$103,MATCH($C82,Produtos!$A$4:$A$103,0))&lt;&gt;"OK",TRUE),COUNTIF(Regras!$A$4:$A$103,$D82)&lt;&gt;1,IFERROR(INDEX(Regras!$O$4:$O$103,MATCH($D82,Regras!$A$4:$A$103,0))&lt;&gt;"Sim",TRUE),IFERROR(INDEX(Regras!$P$4:$P$103,MATCH($D82,Regras!$A$4:$A$103,0))&lt;&gt;"OK",TRUE),NOT(ISNUMBER($E82)),$E82&lt;=0,NOT(ISNUMBER($F82)),$F82&lt;0,$F82&gt;5,NOT(ISNUMBER($H82)),$H82&lt;0,$H82&lt;&gt;INT($H82),AND($G82&lt;&gt;"",OR(NOT(ISNUMBER($G82)),$G82&lt;=0))),"Revisar","Pronta")))</f>
        <v/>
      </c>
    </row>
    <row r="83">
      <c r="A83" s="16" t="n"/>
      <c r="B83" s="24" t="n"/>
      <c r="C83" s="16" t="n"/>
      <c r="D83" s="16" t="n"/>
      <c r="E83" s="17" t="n"/>
      <c r="F83" s="18" t="n"/>
      <c r="G83" s="17" t="n"/>
      <c r="H83" s="20" t="n"/>
      <c r="I83" s="16" t="n"/>
      <c r="J83" s="17" t="n"/>
      <c r="K83" s="25" t="n"/>
      <c r="L83" s="26">
        <f>IF($C83="","",IFERROR(INDEX(Produtos!$B$4:$B$103,MATCH($C83,Produtos!$A$4:$A$103,0)),""))</f>
        <v/>
      </c>
      <c r="M83" s="26">
        <f>IF($C83="","",IFERROR(INDEX(Produtos!$C$4:$C$103,MATCH($C83,Produtos!$A$4:$A$103,0)),""))</f>
        <v/>
      </c>
      <c r="N83" s="19">
        <f>IF($C83="","",IFERROR(INDEX(Produtos!$D$4:$D$103,MATCH($C83,Produtos!$A$4:$A$103,0)),""))</f>
        <v/>
      </c>
      <c r="O83" s="27">
        <f>IF($C83="","",IFERROR(INDEX(Produtos!$E$4:$E$103,MATCH($C83,Produtos!$A$4:$A$103,0)),""))</f>
        <v/>
      </c>
      <c r="P83" s="19">
        <f>IF($C83="","",IFERROR(INDEX(Produtos!$G$4:$G$103,MATCH($C83,Produtos!$A$4:$A$103,0)),""))</f>
        <v/>
      </c>
      <c r="Q83" s="19">
        <f>IF($C83="","",IFERROR(INDEX(Produtos!$H$4:$H$103,MATCH($C83,Produtos!$A$4:$A$103,0)),""))</f>
        <v/>
      </c>
      <c r="R83" s="19">
        <f>IF($C83="","",IFERROR(INDEX(Produtos!$I$4:$I$103,MATCH($C83,Produtos!$A$4:$A$103,0)),""))</f>
        <v/>
      </c>
      <c r="S83" s="28">
        <f>IF($C83="","",IFERROR(INDEX(Produtos!$J$4:$J$103,MATCH($C83,Produtos!$A$4:$A$103,0)),""))</f>
        <v/>
      </c>
      <c r="T83" s="27">
        <f>IF($AG83&lt;&gt;"Pronta","",IFERROR(IF($F83&lt;=INDEX(Regras!$C$4:$C$103,MATCH($D83,Regras!$A$4:$A$103,0)),INDEX(Regras!$E$4:$E$103,MATCH($D83,Regras!$A$4:$A$103,0)),IF($F83&gt;=INDEX(Regras!$D$4:$D$103,MATCH($D83,Regras!$A$4:$A$103,0)),INDEX(Regras!$F$4:$F$103,MATCH($D83,Regras!$A$4:$A$103,0)),0)),""))</f>
        <v/>
      </c>
      <c r="U83" s="27">
        <f>IF($AG83&lt;&gt;"Pronta","",IFERROR(IF($G83="",0,IF($G83&lt;=$E83*(1-INDEX(Regras!$G$4:$G$103,MATCH($D83,Regras!$A$4:$A$103,0))),INDEX(Regras!$H$4:$H$103,MATCH($D83,Regras!$A$4:$A$103,0)),IF($G83&gt;=$E83*(1+INDEX(Regras!$G$4:$G$103,MATCH($D83,Regras!$A$4:$A$103,0))),INDEX(Regras!$I$4:$I$103,MATCH($D83,Regras!$A$4:$A$103,0)),0))),""))</f>
        <v/>
      </c>
      <c r="V83" s="27">
        <f>IF($AG83&lt;&gt;"Pronta","",IFERROR(IF($H83/$S83&lt;=INDEX(Regras!$J$4:$J$103,MATCH($D83,Regras!$A$4:$A$103,0)),INDEX(Regras!$L$4:$L$103,MATCH($D83,Regras!$A$4:$A$103,0)),IF($H83/$S83&gt;=INDEX(Regras!$K$4:$K$103,MATCH($D83,Regras!$A$4:$A$103,0)),INDEX(Regras!$M$4:$M$103,MATCH($D83,Regras!$A$4:$A$103,0)),0)),""))</f>
        <v/>
      </c>
      <c r="W83" s="27">
        <f>IF($AG83&lt;&gt;"Pronta","",SUM($T83:$V83))</f>
        <v/>
      </c>
      <c r="X83" s="27">
        <f>IF($AG83&lt;&gt;"Pronta","",IFERROR(MAX(-INDEX(Regras!$N$4:$N$103,MATCH($D83,Regras!$A$4:$A$103,0)),MIN(INDEX(Regras!$N$4:$N$103,MATCH($D83,Regras!$A$4:$A$103,0)),$W83)),""))</f>
        <v/>
      </c>
      <c r="Y83" s="19">
        <f>IF($AG83&lt;&gt;"Pronta","",IFERROR(ROUND($E83*(1+$X83),2),""))</f>
        <v/>
      </c>
      <c r="Z83" s="29">
        <f>IF(OR($AG83&lt;&gt;"Pronta",$Q83="",$R83=""),"",IFERROR(ROUND(MIN($R83,MAX($Q83,$Y83)),2),""))</f>
        <v/>
      </c>
      <c r="AA83" s="27">
        <f>IF(OR($E83="",$Z83=""),"",IFERROR($Z83/$E83-1,""))</f>
        <v/>
      </c>
      <c r="AB83" s="26">
        <f>IF($Z83="","",IF($Y83&lt;$Q83,"Piso",IF($Y83&gt;$R83,"Teto","Nenhuma")))</f>
        <v/>
      </c>
      <c r="AC83" s="21">
        <f>IF($A83="","",IF($AG83&lt;&gt;"Pronta","Aguardando dados válidos",_xlfn.TEXTJOIN(" | ",TRUE,IF($T83&gt;0,"Demanda: aumento",IF($T83&lt;0,"Demanda: redução","")),IF($U83&gt;0,"Concorrência: aumento",IF($U83&lt;0,"Concorrência: redução","")),IF($V83&gt;0,"Estoque: aumento",IF($V83&lt;0,"Estoque: redução","")),IF(ABS($W83-$X83)&gt;0.0000001,"Limite da rodada aplicado",""),IF($AB83="Piso","Piso vigente aplicado",IF($AB83="Teto","Teto aplicado","")),IF(AND($T83=0,$U83=0,$V83=0),"Sem gatilho de reajuste",""))))</f>
        <v/>
      </c>
      <c r="AD83" s="21">
        <f>IF(OR($A83="",$AG83&lt;&gt;"Pronta"),"",_xlfn.TEXTJOIN(" | ",TRUE,IF($E83&lt;$Q83,"Preço atual abaixo do piso",""),IF($E83&gt;$R83,"Preço atual acima do teto",""),IF(AND($N83&gt;0,$E83&gt;0,1-$N83/$E83&lt;$O83),"Margem estimada do preço atual abaixo do mínimo",""),IF($G83="","Preço concorrente não informado",""),IF($AB83="Piso","Recomendação travada no piso",""),IF($AB83="Teto","Recomendação travada no teto","")))</f>
        <v/>
      </c>
      <c r="AE83" s="19">
        <f>IF($AG83&lt;&gt;"Pronta","",IF($I83="Aprovar recomendação",$Z83,IF($I83="Manter preço atual",$E83,IF($I83="Definir manualmente",$J83,""))))</f>
        <v/>
      </c>
      <c r="AF83" s="21">
        <f>IF($A83="","",IF($AG83&lt;&gt;"Pronta","Aguardando correção",IF(OR($I83="",$I83="Pendente"),"Decisão pendente",IF(AND($I83="Definir manualmente",OR($J83="",$J83&lt;=0)),"Informe o preço manual",IF(OR($AE83&lt;$Q83,$AE83&gt;$R83),"Preço final fora do piso/teto","OK")))))</f>
        <v/>
      </c>
      <c r="AG83" s="26">
        <f>IF(COUNTA($A83:$K83)=0,"",IF(OR($A83="",$B83="",$C83="",$D83="",$E83="",$F83="",$H83=""),"Incompleta",IF(OR(COUNTIF($A$5:$A$204,$A83)&gt;1,NOT(ISNUMBER($B83)),COUNTIF(Produtos!$A$4:$A$103,$C83)&lt;&gt;1,IFERROR(INDEX(Produtos!$K$4:$K$103,MATCH($C83,Produtos!$A$4:$A$103,0))&lt;&gt;"Ativo",TRUE),IFERROR(INDEX(Produtos!$L$4:$L$103,MATCH($C83,Produtos!$A$4:$A$103,0))&lt;&gt;"OK",TRUE),COUNTIF(Regras!$A$4:$A$103,$D83)&lt;&gt;1,IFERROR(INDEX(Regras!$O$4:$O$103,MATCH($D83,Regras!$A$4:$A$103,0))&lt;&gt;"Sim",TRUE),IFERROR(INDEX(Regras!$P$4:$P$103,MATCH($D83,Regras!$A$4:$A$103,0))&lt;&gt;"OK",TRUE),NOT(ISNUMBER($E83)),$E83&lt;=0,NOT(ISNUMBER($F83)),$F83&lt;0,$F83&gt;5,NOT(ISNUMBER($H83)),$H83&lt;0,$H83&lt;&gt;INT($H83),AND($G83&lt;&gt;"",OR(NOT(ISNUMBER($G83)),$G83&lt;=0))),"Revisar","Pronta")))</f>
        <v/>
      </c>
    </row>
    <row r="84">
      <c r="A84" s="16" t="n"/>
      <c r="B84" s="24" t="n"/>
      <c r="C84" s="16" t="n"/>
      <c r="D84" s="16" t="n"/>
      <c r="E84" s="17" t="n"/>
      <c r="F84" s="18" t="n"/>
      <c r="G84" s="17" t="n"/>
      <c r="H84" s="20" t="n"/>
      <c r="I84" s="16" t="n"/>
      <c r="J84" s="17" t="n"/>
      <c r="K84" s="25" t="n"/>
      <c r="L84" s="26">
        <f>IF($C84="","",IFERROR(INDEX(Produtos!$B$4:$B$103,MATCH($C84,Produtos!$A$4:$A$103,0)),""))</f>
        <v/>
      </c>
      <c r="M84" s="26">
        <f>IF($C84="","",IFERROR(INDEX(Produtos!$C$4:$C$103,MATCH($C84,Produtos!$A$4:$A$103,0)),""))</f>
        <v/>
      </c>
      <c r="N84" s="19">
        <f>IF($C84="","",IFERROR(INDEX(Produtos!$D$4:$D$103,MATCH($C84,Produtos!$A$4:$A$103,0)),""))</f>
        <v/>
      </c>
      <c r="O84" s="27">
        <f>IF($C84="","",IFERROR(INDEX(Produtos!$E$4:$E$103,MATCH($C84,Produtos!$A$4:$A$103,0)),""))</f>
        <v/>
      </c>
      <c r="P84" s="19">
        <f>IF($C84="","",IFERROR(INDEX(Produtos!$G$4:$G$103,MATCH($C84,Produtos!$A$4:$A$103,0)),""))</f>
        <v/>
      </c>
      <c r="Q84" s="19">
        <f>IF($C84="","",IFERROR(INDEX(Produtos!$H$4:$H$103,MATCH($C84,Produtos!$A$4:$A$103,0)),""))</f>
        <v/>
      </c>
      <c r="R84" s="19">
        <f>IF($C84="","",IFERROR(INDEX(Produtos!$I$4:$I$103,MATCH($C84,Produtos!$A$4:$A$103,0)),""))</f>
        <v/>
      </c>
      <c r="S84" s="28">
        <f>IF($C84="","",IFERROR(INDEX(Produtos!$J$4:$J$103,MATCH($C84,Produtos!$A$4:$A$103,0)),""))</f>
        <v/>
      </c>
      <c r="T84" s="27">
        <f>IF($AG84&lt;&gt;"Pronta","",IFERROR(IF($F84&lt;=INDEX(Regras!$C$4:$C$103,MATCH($D84,Regras!$A$4:$A$103,0)),INDEX(Regras!$E$4:$E$103,MATCH($D84,Regras!$A$4:$A$103,0)),IF($F84&gt;=INDEX(Regras!$D$4:$D$103,MATCH($D84,Regras!$A$4:$A$103,0)),INDEX(Regras!$F$4:$F$103,MATCH($D84,Regras!$A$4:$A$103,0)),0)),""))</f>
        <v/>
      </c>
      <c r="U84" s="27">
        <f>IF($AG84&lt;&gt;"Pronta","",IFERROR(IF($G84="",0,IF($G84&lt;=$E84*(1-INDEX(Regras!$G$4:$G$103,MATCH($D84,Regras!$A$4:$A$103,0))),INDEX(Regras!$H$4:$H$103,MATCH($D84,Regras!$A$4:$A$103,0)),IF($G84&gt;=$E84*(1+INDEX(Regras!$G$4:$G$103,MATCH($D84,Regras!$A$4:$A$103,0))),INDEX(Regras!$I$4:$I$103,MATCH($D84,Regras!$A$4:$A$103,0)),0))),""))</f>
        <v/>
      </c>
      <c r="V84" s="27">
        <f>IF($AG84&lt;&gt;"Pronta","",IFERROR(IF($H84/$S84&lt;=INDEX(Regras!$J$4:$J$103,MATCH($D84,Regras!$A$4:$A$103,0)),INDEX(Regras!$L$4:$L$103,MATCH($D84,Regras!$A$4:$A$103,0)),IF($H84/$S84&gt;=INDEX(Regras!$K$4:$K$103,MATCH($D84,Regras!$A$4:$A$103,0)),INDEX(Regras!$M$4:$M$103,MATCH($D84,Regras!$A$4:$A$103,0)),0)),""))</f>
        <v/>
      </c>
      <c r="W84" s="27">
        <f>IF($AG84&lt;&gt;"Pronta","",SUM($T84:$V84))</f>
        <v/>
      </c>
      <c r="X84" s="27">
        <f>IF($AG84&lt;&gt;"Pronta","",IFERROR(MAX(-INDEX(Regras!$N$4:$N$103,MATCH($D84,Regras!$A$4:$A$103,0)),MIN(INDEX(Regras!$N$4:$N$103,MATCH($D84,Regras!$A$4:$A$103,0)),$W84)),""))</f>
        <v/>
      </c>
      <c r="Y84" s="19">
        <f>IF($AG84&lt;&gt;"Pronta","",IFERROR(ROUND($E84*(1+$X84),2),""))</f>
        <v/>
      </c>
      <c r="Z84" s="29">
        <f>IF(OR($AG84&lt;&gt;"Pronta",$Q84="",$R84=""),"",IFERROR(ROUND(MIN($R84,MAX($Q84,$Y84)),2),""))</f>
        <v/>
      </c>
      <c r="AA84" s="27">
        <f>IF(OR($E84="",$Z84=""),"",IFERROR($Z84/$E84-1,""))</f>
        <v/>
      </c>
      <c r="AB84" s="26">
        <f>IF($Z84="","",IF($Y84&lt;$Q84,"Piso",IF($Y84&gt;$R84,"Teto","Nenhuma")))</f>
        <v/>
      </c>
      <c r="AC84" s="21">
        <f>IF($A84="","",IF($AG84&lt;&gt;"Pronta","Aguardando dados válidos",_xlfn.TEXTJOIN(" | ",TRUE,IF($T84&gt;0,"Demanda: aumento",IF($T84&lt;0,"Demanda: redução","")),IF($U84&gt;0,"Concorrência: aumento",IF($U84&lt;0,"Concorrência: redução","")),IF($V84&gt;0,"Estoque: aumento",IF($V84&lt;0,"Estoque: redução","")),IF(ABS($W84-$X84)&gt;0.0000001,"Limite da rodada aplicado",""),IF($AB84="Piso","Piso vigente aplicado",IF($AB84="Teto","Teto aplicado","")),IF(AND($T84=0,$U84=0,$V84=0),"Sem gatilho de reajuste",""))))</f>
        <v/>
      </c>
      <c r="AD84" s="21">
        <f>IF(OR($A84="",$AG84&lt;&gt;"Pronta"),"",_xlfn.TEXTJOIN(" | ",TRUE,IF($E84&lt;$Q84,"Preço atual abaixo do piso",""),IF($E84&gt;$R84,"Preço atual acima do teto",""),IF(AND($N84&gt;0,$E84&gt;0,1-$N84/$E84&lt;$O84),"Margem estimada do preço atual abaixo do mínimo",""),IF($G84="","Preço concorrente não informado",""),IF($AB84="Piso","Recomendação travada no piso",""),IF($AB84="Teto","Recomendação travada no teto","")))</f>
        <v/>
      </c>
      <c r="AE84" s="19">
        <f>IF($AG84&lt;&gt;"Pronta","",IF($I84="Aprovar recomendação",$Z84,IF($I84="Manter preço atual",$E84,IF($I84="Definir manualmente",$J84,""))))</f>
        <v/>
      </c>
      <c r="AF84" s="21">
        <f>IF($A84="","",IF($AG84&lt;&gt;"Pronta","Aguardando correção",IF(OR($I84="",$I84="Pendente"),"Decisão pendente",IF(AND($I84="Definir manualmente",OR($J84="",$J84&lt;=0)),"Informe o preço manual",IF(OR($AE84&lt;$Q84,$AE84&gt;$R84),"Preço final fora do piso/teto","OK")))))</f>
        <v/>
      </c>
      <c r="AG84" s="26">
        <f>IF(COUNTA($A84:$K84)=0,"",IF(OR($A84="",$B84="",$C84="",$D84="",$E84="",$F84="",$H84=""),"Incompleta",IF(OR(COUNTIF($A$5:$A$204,$A84)&gt;1,NOT(ISNUMBER($B84)),COUNTIF(Produtos!$A$4:$A$103,$C84)&lt;&gt;1,IFERROR(INDEX(Produtos!$K$4:$K$103,MATCH($C84,Produtos!$A$4:$A$103,0))&lt;&gt;"Ativo",TRUE),IFERROR(INDEX(Produtos!$L$4:$L$103,MATCH($C84,Produtos!$A$4:$A$103,0))&lt;&gt;"OK",TRUE),COUNTIF(Regras!$A$4:$A$103,$D84)&lt;&gt;1,IFERROR(INDEX(Regras!$O$4:$O$103,MATCH($D84,Regras!$A$4:$A$103,0))&lt;&gt;"Sim",TRUE),IFERROR(INDEX(Regras!$P$4:$P$103,MATCH($D84,Regras!$A$4:$A$103,0))&lt;&gt;"OK",TRUE),NOT(ISNUMBER($E84)),$E84&lt;=0,NOT(ISNUMBER($F84)),$F84&lt;0,$F84&gt;5,NOT(ISNUMBER($H84)),$H84&lt;0,$H84&lt;&gt;INT($H84),AND($G84&lt;&gt;"",OR(NOT(ISNUMBER($G84)),$G84&lt;=0))),"Revisar","Pronta")))</f>
        <v/>
      </c>
    </row>
    <row r="85">
      <c r="A85" s="16" t="n"/>
      <c r="B85" s="24" t="n"/>
      <c r="C85" s="16" t="n"/>
      <c r="D85" s="16" t="n"/>
      <c r="E85" s="17" t="n"/>
      <c r="F85" s="18" t="n"/>
      <c r="G85" s="17" t="n"/>
      <c r="H85" s="20" t="n"/>
      <c r="I85" s="16" t="n"/>
      <c r="J85" s="17" t="n"/>
      <c r="K85" s="25" t="n"/>
      <c r="L85" s="26">
        <f>IF($C85="","",IFERROR(INDEX(Produtos!$B$4:$B$103,MATCH($C85,Produtos!$A$4:$A$103,0)),""))</f>
        <v/>
      </c>
      <c r="M85" s="26">
        <f>IF($C85="","",IFERROR(INDEX(Produtos!$C$4:$C$103,MATCH($C85,Produtos!$A$4:$A$103,0)),""))</f>
        <v/>
      </c>
      <c r="N85" s="19">
        <f>IF($C85="","",IFERROR(INDEX(Produtos!$D$4:$D$103,MATCH($C85,Produtos!$A$4:$A$103,0)),""))</f>
        <v/>
      </c>
      <c r="O85" s="27">
        <f>IF($C85="","",IFERROR(INDEX(Produtos!$E$4:$E$103,MATCH($C85,Produtos!$A$4:$A$103,0)),""))</f>
        <v/>
      </c>
      <c r="P85" s="19">
        <f>IF($C85="","",IFERROR(INDEX(Produtos!$G$4:$G$103,MATCH($C85,Produtos!$A$4:$A$103,0)),""))</f>
        <v/>
      </c>
      <c r="Q85" s="19">
        <f>IF($C85="","",IFERROR(INDEX(Produtos!$H$4:$H$103,MATCH($C85,Produtos!$A$4:$A$103,0)),""))</f>
        <v/>
      </c>
      <c r="R85" s="19">
        <f>IF($C85="","",IFERROR(INDEX(Produtos!$I$4:$I$103,MATCH($C85,Produtos!$A$4:$A$103,0)),""))</f>
        <v/>
      </c>
      <c r="S85" s="28">
        <f>IF($C85="","",IFERROR(INDEX(Produtos!$J$4:$J$103,MATCH($C85,Produtos!$A$4:$A$103,0)),""))</f>
        <v/>
      </c>
      <c r="T85" s="27">
        <f>IF($AG85&lt;&gt;"Pronta","",IFERROR(IF($F85&lt;=INDEX(Regras!$C$4:$C$103,MATCH($D85,Regras!$A$4:$A$103,0)),INDEX(Regras!$E$4:$E$103,MATCH($D85,Regras!$A$4:$A$103,0)),IF($F85&gt;=INDEX(Regras!$D$4:$D$103,MATCH($D85,Regras!$A$4:$A$103,0)),INDEX(Regras!$F$4:$F$103,MATCH($D85,Regras!$A$4:$A$103,0)),0)),""))</f>
        <v/>
      </c>
      <c r="U85" s="27">
        <f>IF($AG85&lt;&gt;"Pronta","",IFERROR(IF($G85="",0,IF($G85&lt;=$E85*(1-INDEX(Regras!$G$4:$G$103,MATCH($D85,Regras!$A$4:$A$103,0))),INDEX(Regras!$H$4:$H$103,MATCH($D85,Regras!$A$4:$A$103,0)),IF($G85&gt;=$E85*(1+INDEX(Regras!$G$4:$G$103,MATCH($D85,Regras!$A$4:$A$103,0))),INDEX(Regras!$I$4:$I$103,MATCH($D85,Regras!$A$4:$A$103,0)),0))),""))</f>
        <v/>
      </c>
      <c r="V85" s="27">
        <f>IF($AG85&lt;&gt;"Pronta","",IFERROR(IF($H85/$S85&lt;=INDEX(Regras!$J$4:$J$103,MATCH($D85,Regras!$A$4:$A$103,0)),INDEX(Regras!$L$4:$L$103,MATCH($D85,Regras!$A$4:$A$103,0)),IF($H85/$S85&gt;=INDEX(Regras!$K$4:$K$103,MATCH($D85,Regras!$A$4:$A$103,0)),INDEX(Regras!$M$4:$M$103,MATCH($D85,Regras!$A$4:$A$103,0)),0)),""))</f>
        <v/>
      </c>
      <c r="W85" s="27">
        <f>IF($AG85&lt;&gt;"Pronta","",SUM($T85:$V85))</f>
        <v/>
      </c>
      <c r="X85" s="27">
        <f>IF($AG85&lt;&gt;"Pronta","",IFERROR(MAX(-INDEX(Regras!$N$4:$N$103,MATCH($D85,Regras!$A$4:$A$103,0)),MIN(INDEX(Regras!$N$4:$N$103,MATCH($D85,Regras!$A$4:$A$103,0)),$W85)),""))</f>
        <v/>
      </c>
      <c r="Y85" s="19">
        <f>IF($AG85&lt;&gt;"Pronta","",IFERROR(ROUND($E85*(1+$X85),2),""))</f>
        <v/>
      </c>
      <c r="Z85" s="29">
        <f>IF(OR($AG85&lt;&gt;"Pronta",$Q85="",$R85=""),"",IFERROR(ROUND(MIN($R85,MAX($Q85,$Y85)),2),""))</f>
        <v/>
      </c>
      <c r="AA85" s="27">
        <f>IF(OR($E85="",$Z85=""),"",IFERROR($Z85/$E85-1,""))</f>
        <v/>
      </c>
      <c r="AB85" s="26">
        <f>IF($Z85="","",IF($Y85&lt;$Q85,"Piso",IF($Y85&gt;$R85,"Teto","Nenhuma")))</f>
        <v/>
      </c>
      <c r="AC85" s="21">
        <f>IF($A85="","",IF($AG85&lt;&gt;"Pronta","Aguardando dados válidos",_xlfn.TEXTJOIN(" | ",TRUE,IF($T85&gt;0,"Demanda: aumento",IF($T85&lt;0,"Demanda: redução","")),IF($U85&gt;0,"Concorrência: aumento",IF($U85&lt;0,"Concorrência: redução","")),IF($V85&gt;0,"Estoque: aumento",IF($V85&lt;0,"Estoque: redução","")),IF(ABS($W85-$X85)&gt;0.0000001,"Limite da rodada aplicado",""),IF($AB85="Piso","Piso vigente aplicado",IF($AB85="Teto","Teto aplicado","")),IF(AND($T85=0,$U85=0,$V85=0),"Sem gatilho de reajuste",""))))</f>
        <v/>
      </c>
      <c r="AD85" s="21">
        <f>IF(OR($A85="",$AG85&lt;&gt;"Pronta"),"",_xlfn.TEXTJOIN(" | ",TRUE,IF($E85&lt;$Q85,"Preço atual abaixo do piso",""),IF($E85&gt;$R85,"Preço atual acima do teto",""),IF(AND($N85&gt;0,$E85&gt;0,1-$N85/$E85&lt;$O85),"Margem estimada do preço atual abaixo do mínimo",""),IF($G85="","Preço concorrente não informado",""),IF($AB85="Piso","Recomendação travada no piso",""),IF($AB85="Teto","Recomendação travada no teto","")))</f>
        <v/>
      </c>
      <c r="AE85" s="19">
        <f>IF($AG85&lt;&gt;"Pronta","",IF($I85="Aprovar recomendação",$Z85,IF($I85="Manter preço atual",$E85,IF($I85="Definir manualmente",$J85,""))))</f>
        <v/>
      </c>
      <c r="AF85" s="21">
        <f>IF($A85="","",IF($AG85&lt;&gt;"Pronta","Aguardando correção",IF(OR($I85="",$I85="Pendente"),"Decisão pendente",IF(AND($I85="Definir manualmente",OR($J85="",$J85&lt;=0)),"Informe o preço manual",IF(OR($AE85&lt;$Q85,$AE85&gt;$R85),"Preço final fora do piso/teto","OK")))))</f>
        <v/>
      </c>
      <c r="AG85" s="26">
        <f>IF(COUNTA($A85:$K85)=0,"",IF(OR($A85="",$B85="",$C85="",$D85="",$E85="",$F85="",$H85=""),"Incompleta",IF(OR(COUNTIF($A$5:$A$204,$A85)&gt;1,NOT(ISNUMBER($B85)),COUNTIF(Produtos!$A$4:$A$103,$C85)&lt;&gt;1,IFERROR(INDEX(Produtos!$K$4:$K$103,MATCH($C85,Produtos!$A$4:$A$103,0))&lt;&gt;"Ativo",TRUE),IFERROR(INDEX(Produtos!$L$4:$L$103,MATCH($C85,Produtos!$A$4:$A$103,0))&lt;&gt;"OK",TRUE),COUNTIF(Regras!$A$4:$A$103,$D85)&lt;&gt;1,IFERROR(INDEX(Regras!$O$4:$O$103,MATCH($D85,Regras!$A$4:$A$103,0))&lt;&gt;"Sim",TRUE),IFERROR(INDEX(Regras!$P$4:$P$103,MATCH($D85,Regras!$A$4:$A$103,0))&lt;&gt;"OK",TRUE),NOT(ISNUMBER($E85)),$E85&lt;=0,NOT(ISNUMBER($F85)),$F85&lt;0,$F85&gt;5,NOT(ISNUMBER($H85)),$H85&lt;0,$H85&lt;&gt;INT($H85),AND($G85&lt;&gt;"",OR(NOT(ISNUMBER($G85)),$G85&lt;=0))),"Revisar","Pronta")))</f>
        <v/>
      </c>
    </row>
    <row r="86">
      <c r="A86" s="16" t="n"/>
      <c r="B86" s="24" t="n"/>
      <c r="C86" s="16" t="n"/>
      <c r="D86" s="16" t="n"/>
      <c r="E86" s="17" t="n"/>
      <c r="F86" s="18" t="n"/>
      <c r="G86" s="17" t="n"/>
      <c r="H86" s="20" t="n"/>
      <c r="I86" s="16" t="n"/>
      <c r="J86" s="17" t="n"/>
      <c r="K86" s="25" t="n"/>
      <c r="L86" s="26">
        <f>IF($C86="","",IFERROR(INDEX(Produtos!$B$4:$B$103,MATCH($C86,Produtos!$A$4:$A$103,0)),""))</f>
        <v/>
      </c>
      <c r="M86" s="26">
        <f>IF($C86="","",IFERROR(INDEX(Produtos!$C$4:$C$103,MATCH($C86,Produtos!$A$4:$A$103,0)),""))</f>
        <v/>
      </c>
      <c r="N86" s="19">
        <f>IF($C86="","",IFERROR(INDEX(Produtos!$D$4:$D$103,MATCH($C86,Produtos!$A$4:$A$103,0)),""))</f>
        <v/>
      </c>
      <c r="O86" s="27">
        <f>IF($C86="","",IFERROR(INDEX(Produtos!$E$4:$E$103,MATCH($C86,Produtos!$A$4:$A$103,0)),""))</f>
        <v/>
      </c>
      <c r="P86" s="19">
        <f>IF($C86="","",IFERROR(INDEX(Produtos!$G$4:$G$103,MATCH($C86,Produtos!$A$4:$A$103,0)),""))</f>
        <v/>
      </c>
      <c r="Q86" s="19">
        <f>IF($C86="","",IFERROR(INDEX(Produtos!$H$4:$H$103,MATCH($C86,Produtos!$A$4:$A$103,0)),""))</f>
        <v/>
      </c>
      <c r="R86" s="19">
        <f>IF($C86="","",IFERROR(INDEX(Produtos!$I$4:$I$103,MATCH($C86,Produtos!$A$4:$A$103,0)),""))</f>
        <v/>
      </c>
      <c r="S86" s="28">
        <f>IF($C86="","",IFERROR(INDEX(Produtos!$J$4:$J$103,MATCH($C86,Produtos!$A$4:$A$103,0)),""))</f>
        <v/>
      </c>
      <c r="T86" s="27">
        <f>IF($AG86&lt;&gt;"Pronta","",IFERROR(IF($F86&lt;=INDEX(Regras!$C$4:$C$103,MATCH($D86,Regras!$A$4:$A$103,0)),INDEX(Regras!$E$4:$E$103,MATCH($D86,Regras!$A$4:$A$103,0)),IF($F86&gt;=INDEX(Regras!$D$4:$D$103,MATCH($D86,Regras!$A$4:$A$103,0)),INDEX(Regras!$F$4:$F$103,MATCH($D86,Regras!$A$4:$A$103,0)),0)),""))</f>
        <v/>
      </c>
      <c r="U86" s="27">
        <f>IF($AG86&lt;&gt;"Pronta","",IFERROR(IF($G86="",0,IF($G86&lt;=$E86*(1-INDEX(Regras!$G$4:$G$103,MATCH($D86,Regras!$A$4:$A$103,0))),INDEX(Regras!$H$4:$H$103,MATCH($D86,Regras!$A$4:$A$103,0)),IF($G86&gt;=$E86*(1+INDEX(Regras!$G$4:$G$103,MATCH($D86,Regras!$A$4:$A$103,0))),INDEX(Regras!$I$4:$I$103,MATCH($D86,Regras!$A$4:$A$103,0)),0))),""))</f>
        <v/>
      </c>
      <c r="V86" s="27">
        <f>IF($AG86&lt;&gt;"Pronta","",IFERROR(IF($H86/$S86&lt;=INDEX(Regras!$J$4:$J$103,MATCH($D86,Regras!$A$4:$A$103,0)),INDEX(Regras!$L$4:$L$103,MATCH($D86,Regras!$A$4:$A$103,0)),IF($H86/$S86&gt;=INDEX(Regras!$K$4:$K$103,MATCH($D86,Regras!$A$4:$A$103,0)),INDEX(Regras!$M$4:$M$103,MATCH($D86,Regras!$A$4:$A$103,0)),0)),""))</f>
        <v/>
      </c>
      <c r="W86" s="27">
        <f>IF($AG86&lt;&gt;"Pronta","",SUM($T86:$V86))</f>
        <v/>
      </c>
      <c r="X86" s="27">
        <f>IF($AG86&lt;&gt;"Pronta","",IFERROR(MAX(-INDEX(Regras!$N$4:$N$103,MATCH($D86,Regras!$A$4:$A$103,0)),MIN(INDEX(Regras!$N$4:$N$103,MATCH($D86,Regras!$A$4:$A$103,0)),$W86)),""))</f>
        <v/>
      </c>
      <c r="Y86" s="19">
        <f>IF($AG86&lt;&gt;"Pronta","",IFERROR(ROUND($E86*(1+$X86),2),""))</f>
        <v/>
      </c>
      <c r="Z86" s="29">
        <f>IF(OR($AG86&lt;&gt;"Pronta",$Q86="",$R86=""),"",IFERROR(ROUND(MIN($R86,MAX($Q86,$Y86)),2),""))</f>
        <v/>
      </c>
      <c r="AA86" s="27">
        <f>IF(OR($E86="",$Z86=""),"",IFERROR($Z86/$E86-1,""))</f>
        <v/>
      </c>
      <c r="AB86" s="26">
        <f>IF($Z86="","",IF($Y86&lt;$Q86,"Piso",IF($Y86&gt;$R86,"Teto","Nenhuma")))</f>
        <v/>
      </c>
      <c r="AC86" s="21">
        <f>IF($A86="","",IF($AG86&lt;&gt;"Pronta","Aguardando dados válidos",_xlfn.TEXTJOIN(" | ",TRUE,IF($T86&gt;0,"Demanda: aumento",IF($T86&lt;0,"Demanda: redução","")),IF($U86&gt;0,"Concorrência: aumento",IF($U86&lt;0,"Concorrência: redução","")),IF($V86&gt;0,"Estoque: aumento",IF($V86&lt;0,"Estoque: redução","")),IF(ABS($W86-$X86)&gt;0.0000001,"Limite da rodada aplicado",""),IF($AB86="Piso","Piso vigente aplicado",IF($AB86="Teto","Teto aplicado","")),IF(AND($T86=0,$U86=0,$V86=0),"Sem gatilho de reajuste",""))))</f>
        <v/>
      </c>
      <c r="AD86" s="21">
        <f>IF(OR($A86="",$AG86&lt;&gt;"Pronta"),"",_xlfn.TEXTJOIN(" | ",TRUE,IF($E86&lt;$Q86,"Preço atual abaixo do piso",""),IF($E86&gt;$R86,"Preço atual acima do teto",""),IF(AND($N86&gt;0,$E86&gt;0,1-$N86/$E86&lt;$O86),"Margem estimada do preço atual abaixo do mínimo",""),IF($G86="","Preço concorrente não informado",""),IF($AB86="Piso","Recomendação travada no piso",""),IF($AB86="Teto","Recomendação travada no teto","")))</f>
        <v/>
      </c>
      <c r="AE86" s="19">
        <f>IF($AG86&lt;&gt;"Pronta","",IF($I86="Aprovar recomendação",$Z86,IF($I86="Manter preço atual",$E86,IF($I86="Definir manualmente",$J86,""))))</f>
        <v/>
      </c>
      <c r="AF86" s="21">
        <f>IF($A86="","",IF($AG86&lt;&gt;"Pronta","Aguardando correção",IF(OR($I86="",$I86="Pendente"),"Decisão pendente",IF(AND($I86="Definir manualmente",OR($J86="",$J86&lt;=0)),"Informe o preço manual",IF(OR($AE86&lt;$Q86,$AE86&gt;$R86),"Preço final fora do piso/teto","OK")))))</f>
        <v/>
      </c>
      <c r="AG86" s="26">
        <f>IF(COUNTA($A86:$K86)=0,"",IF(OR($A86="",$B86="",$C86="",$D86="",$E86="",$F86="",$H86=""),"Incompleta",IF(OR(COUNTIF($A$5:$A$204,$A86)&gt;1,NOT(ISNUMBER($B86)),COUNTIF(Produtos!$A$4:$A$103,$C86)&lt;&gt;1,IFERROR(INDEX(Produtos!$K$4:$K$103,MATCH($C86,Produtos!$A$4:$A$103,0))&lt;&gt;"Ativo",TRUE),IFERROR(INDEX(Produtos!$L$4:$L$103,MATCH($C86,Produtos!$A$4:$A$103,0))&lt;&gt;"OK",TRUE),COUNTIF(Regras!$A$4:$A$103,$D86)&lt;&gt;1,IFERROR(INDEX(Regras!$O$4:$O$103,MATCH($D86,Regras!$A$4:$A$103,0))&lt;&gt;"Sim",TRUE),IFERROR(INDEX(Regras!$P$4:$P$103,MATCH($D86,Regras!$A$4:$A$103,0))&lt;&gt;"OK",TRUE),NOT(ISNUMBER($E86)),$E86&lt;=0,NOT(ISNUMBER($F86)),$F86&lt;0,$F86&gt;5,NOT(ISNUMBER($H86)),$H86&lt;0,$H86&lt;&gt;INT($H86),AND($G86&lt;&gt;"",OR(NOT(ISNUMBER($G86)),$G86&lt;=0))),"Revisar","Pronta")))</f>
        <v/>
      </c>
    </row>
    <row r="87">
      <c r="A87" s="16" t="n"/>
      <c r="B87" s="24" t="n"/>
      <c r="C87" s="16" t="n"/>
      <c r="D87" s="16" t="n"/>
      <c r="E87" s="17" t="n"/>
      <c r="F87" s="18" t="n"/>
      <c r="G87" s="17" t="n"/>
      <c r="H87" s="20" t="n"/>
      <c r="I87" s="16" t="n"/>
      <c r="J87" s="17" t="n"/>
      <c r="K87" s="25" t="n"/>
      <c r="L87" s="26">
        <f>IF($C87="","",IFERROR(INDEX(Produtos!$B$4:$B$103,MATCH($C87,Produtos!$A$4:$A$103,0)),""))</f>
        <v/>
      </c>
      <c r="M87" s="26">
        <f>IF($C87="","",IFERROR(INDEX(Produtos!$C$4:$C$103,MATCH($C87,Produtos!$A$4:$A$103,0)),""))</f>
        <v/>
      </c>
      <c r="N87" s="19">
        <f>IF($C87="","",IFERROR(INDEX(Produtos!$D$4:$D$103,MATCH($C87,Produtos!$A$4:$A$103,0)),""))</f>
        <v/>
      </c>
      <c r="O87" s="27">
        <f>IF($C87="","",IFERROR(INDEX(Produtos!$E$4:$E$103,MATCH($C87,Produtos!$A$4:$A$103,0)),""))</f>
        <v/>
      </c>
      <c r="P87" s="19">
        <f>IF($C87="","",IFERROR(INDEX(Produtos!$G$4:$G$103,MATCH($C87,Produtos!$A$4:$A$103,0)),""))</f>
        <v/>
      </c>
      <c r="Q87" s="19">
        <f>IF($C87="","",IFERROR(INDEX(Produtos!$H$4:$H$103,MATCH($C87,Produtos!$A$4:$A$103,0)),""))</f>
        <v/>
      </c>
      <c r="R87" s="19">
        <f>IF($C87="","",IFERROR(INDEX(Produtos!$I$4:$I$103,MATCH($C87,Produtos!$A$4:$A$103,0)),""))</f>
        <v/>
      </c>
      <c r="S87" s="28">
        <f>IF($C87="","",IFERROR(INDEX(Produtos!$J$4:$J$103,MATCH($C87,Produtos!$A$4:$A$103,0)),""))</f>
        <v/>
      </c>
      <c r="T87" s="27">
        <f>IF($AG87&lt;&gt;"Pronta","",IFERROR(IF($F87&lt;=INDEX(Regras!$C$4:$C$103,MATCH($D87,Regras!$A$4:$A$103,0)),INDEX(Regras!$E$4:$E$103,MATCH($D87,Regras!$A$4:$A$103,0)),IF($F87&gt;=INDEX(Regras!$D$4:$D$103,MATCH($D87,Regras!$A$4:$A$103,0)),INDEX(Regras!$F$4:$F$103,MATCH($D87,Regras!$A$4:$A$103,0)),0)),""))</f>
        <v/>
      </c>
      <c r="U87" s="27">
        <f>IF($AG87&lt;&gt;"Pronta","",IFERROR(IF($G87="",0,IF($G87&lt;=$E87*(1-INDEX(Regras!$G$4:$G$103,MATCH($D87,Regras!$A$4:$A$103,0))),INDEX(Regras!$H$4:$H$103,MATCH($D87,Regras!$A$4:$A$103,0)),IF($G87&gt;=$E87*(1+INDEX(Regras!$G$4:$G$103,MATCH($D87,Regras!$A$4:$A$103,0))),INDEX(Regras!$I$4:$I$103,MATCH($D87,Regras!$A$4:$A$103,0)),0))),""))</f>
        <v/>
      </c>
      <c r="V87" s="27">
        <f>IF($AG87&lt;&gt;"Pronta","",IFERROR(IF($H87/$S87&lt;=INDEX(Regras!$J$4:$J$103,MATCH($D87,Regras!$A$4:$A$103,0)),INDEX(Regras!$L$4:$L$103,MATCH($D87,Regras!$A$4:$A$103,0)),IF($H87/$S87&gt;=INDEX(Regras!$K$4:$K$103,MATCH($D87,Regras!$A$4:$A$103,0)),INDEX(Regras!$M$4:$M$103,MATCH($D87,Regras!$A$4:$A$103,0)),0)),""))</f>
        <v/>
      </c>
      <c r="W87" s="27">
        <f>IF($AG87&lt;&gt;"Pronta","",SUM($T87:$V87))</f>
        <v/>
      </c>
      <c r="X87" s="27">
        <f>IF($AG87&lt;&gt;"Pronta","",IFERROR(MAX(-INDEX(Regras!$N$4:$N$103,MATCH($D87,Regras!$A$4:$A$103,0)),MIN(INDEX(Regras!$N$4:$N$103,MATCH($D87,Regras!$A$4:$A$103,0)),$W87)),""))</f>
        <v/>
      </c>
      <c r="Y87" s="19">
        <f>IF($AG87&lt;&gt;"Pronta","",IFERROR(ROUND($E87*(1+$X87),2),""))</f>
        <v/>
      </c>
      <c r="Z87" s="29">
        <f>IF(OR($AG87&lt;&gt;"Pronta",$Q87="",$R87=""),"",IFERROR(ROUND(MIN($R87,MAX($Q87,$Y87)),2),""))</f>
        <v/>
      </c>
      <c r="AA87" s="27">
        <f>IF(OR($E87="",$Z87=""),"",IFERROR($Z87/$E87-1,""))</f>
        <v/>
      </c>
      <c r="AB87" s="26">
        <f>IF($Z87="","",IF($Y87&lt;$Q87,"Piso",IF($Y87&gt;$R87,"Teto","Nenhuma")))</f>
        <v/>
      </c>
      <c r="AC87" s="21">
        <f>IF($A87="","",IF($AG87&lt;&gt;"Pronta","Aguardando dados válidos",_xlfn.TEXTJOIN(" | ",TRUE,IF($T87&gt;0,"Demanda: aumento",IF($T87&lt;0,"Demanda: redução","")),IF($U87&gt;0,"Concorrência: aumento",IF($U87&lt;0,"Concorrência: redução","")),IF($V87&gt;0,"Estoque: aumento",IF($V87&lt;0,"Estoque: redução","")),IF(ABS($W87-$X87)&gt;0.0000001,"Limite da rodada aplicado",""),IF($AB87="Piso","Piso vigente aplicado",IF($AB87="Teto","Teto aplicado","")),IF(AND($T87=0,$U87=0,$V87=0),"Sem gatilho de reajuste",""))))</f>
        <v/>
      </c>
      <c r="AD87" s="21">
        <f>IF(OR($A87="",$AG87&lt;&gt;"Pronta"),"",_xlfn.TEXTJOIN(" | ",TRUE,IF($E87&lt;$Q87,"Preço atual abaixo do piso",""),IF($E87&gt;$R87,"Preço atual acima do teto",""),IF(AND($N87&gt;0,$E87&gt;0,1-$N87/$E87&lt;$O87),"Margem estimada do preço atual abaixo do mínimo",""),IF($G87="","Preço concorrente não informado",""),IF($AB87="Piso","Recomendação travada no piso",""),IF($AB87="Teto","Recomendação travada no teto","")))</f>
        <v/>
      </c>
      <c r="AE87" s="19">
        <f>IF($AG87&lt;&gt;"Pronta","",IF($I87="Aprovar recomendação",$Z87,IF($I87="Manter preço atual",$E87,IF($I87="Definir manualmente",$J87,""))))</f>
        <v/>
      </c>
      <c r="AF87" s="21">
        <f>IF($A87="","",IF($AG87&lt;&gt;"Pronta","Aguardando correção",IF(OR($I87="",$I87="Pendente"),"Decisão pendente",IF(AND($I87="Definir manualmente",OR($J87="",$J87&lt;=0)),"Informe o preço manual",IF(OR($AE87&lt;$Q87,$AE87&gt;$R87),"Preço final fora do piso/teto","OK")))))</f>
        <v/>
      </c>
      <c r="AG87" s="26">
        <f>IF(COUNTA($A87:$K87)=0,"",IF(OR($A87="",$B87="",$C87="",$D87="",$E87="",$F87="",$H87=""),"Incompleta",IF(OR(COUNTIF($A$5:$A$204,$A87)&gt;1,NOT(ISNUMBER($B87)),COUNTIF(Produtos!$A$4:$A$103,$C87)&lt;&gt;1,IFERROR(INDEX(Produtos!$K$4:$K$103,MATCH($C87,Produtos!$A$4:$A$103,0))&lt;&gt;"Ativo",TRUE),IFERROR(INDEX(Produtos!$L$4:$L$103,MATCH($C87,Produtos!$A$4:$A$103,0))&lt;&gt;"OK",TRUE),COUNTIF(Regras!$A$4:$A$103,$D87)&lt;&gt;1,IFERROR(INDEX(Regras!$O$4:$O$103,MATCH($D87,Regras!$A$4:$A$103,0))&lt;&gt;"Sim",TRUE),IFERROR(INDEX(Regras!$P$4:$P$103,MATCH($D87,Regras!$A$4:$A$103,0))&lt;&gt;"OK",TRUE),NOT(ISNUMBER($E87)),$E87&lt;=0,NOT(ISNUMBER($F87)),$F87&lt;0,$F87&gt;5,NOT(ISNUMBER($H87)),$H87&lt;0,$H87&lt;&gt;INT($H87),AND($G87&lt;&gt;"",OR(NOT(ISNUMBER($G87)),$G87&lt;=0))),"Revisar","Pronta")))</f>
        <v/>
      </c>
    </row>
    <row r="88">
      <c r="A88" s="16" t="n"/>
      <c r="B88" s="24" t="n"/>
      <c r="C88" s="16" t="n"/>
      <c r="D88" s="16" t="n"/>
      <c r="E88" s="17" t="n"/>
      <c r="F88" s="18" t="n"/>
      <c r="G88" s="17" t="n"/>
      <c r="H88" s="20" t="n"/>
      <c r="I88" s="16" t="n"/>
      <c r="J88" s="17" t="n"/>
      <c r="K88" s="25" t="n"/>
      <c r="L88" s="26">
        <f>IF($C88="","",IFERROR(INDEX(Produtos!$B$4:$B$103,MATCH($C88,Produtos!$A$4:$A$103,0)),""))</f>
        <v/>
      </c>
      <c r="M88" s="26">
        <f>IF($C88="","",IFERROR(INDEX(Produtos!$C$4:$C$103,MATCH($C88,Produtos!$A$4:$A$103,0)),""))</f>
        <v/>
      </c>
      <c r="N88" s="19">
        <f>IF($C88="","",IFERROR(INDEX(Produtos!$D$4:$D$103,MATCH($C88,Produtos!$A$4:$A$103,0)),""))</f>
        <v/>
      </c>
      <c r="O88" s="27">
        <f>IF($C88="","",IFERROR(INDEX(Produtos!$E$4:$E$103,MATCH($C88,Produtos!$A$4:$A$103,0)),""))</f>
        <v/>
      </c>
      <c r="P88" s="19">
        <f>IF($C88="","",IFERROR(INDEX(Produtos!$G$4:$G$103,MATCH($C88,Produtos!$A$4:$A$103,0)),""))</f>
        <v/>
      </c>
      <c r="Q88" s="19">
        <f>IF($C88="","",IFERROR(INDEX(Produtos!$H$4:$H$103,MATCH($C88,Produtos!$A$4:$A$103,0)),""))</f>
        <v/>
      </c>
      <c r="R88" s="19">
        <f>IF($C88="","",IFERROR(INDEX(Produtos!$I$4:$I$103,MATCH($C88,Produtos!$A$4:$A$103,0)),""))</f>
        <v/>
      </c>
      <c r="S88" s="28">
        <f>IF($C88="","",IFERROR(INDEX(Produtos!$J$4:$J$103,MATCH($C88,Produtos!$A$4:$A$103,0)),""))</f>
        <v/>
      </c>
      <c r="T88" s="27">
        <f>IF($AG88&lt;&gt;"Pronta","",IFERROR(IF($F88&lt;=INDEX(Regras!$C$4:$C$103,MATCH($D88,Regras!$A$4:$A$103,0)),INDEX(Regras!$E$4:$E$103,MATCH($D88,Regras!$A$4:$A$103,0)),IF($F88&gt;=INDEX(Regras!$D$4:$D$103,MATCH($D88,Regras!$A$4:$A$103,0)),INDEX(Regras!$F$4:$F$103,MATCH($D88,Regras!$A$4:$A$103,0)),0)),""))</f>
        <v/>
      </c>
      <c r="U88" s="27">
        <f>IF($AG88&lt;&gt;"Pronta","",IFERROR(IF($G88="",0,IF($G88&lt;=$E88*(1-INDEX(Regras!$G$4:$G$103,MATCH($D88,Regras!$A$4:$A$103,0))),INDEX(Regras!$H$4:$H$103,MATCH($D88,Regras!$A$4:$A$103,0)),IF($G88&gt;=$E88*(1+INDEX(Regras!$G$4:$G$103,MATCH($D88,Regras!$A$4:$A$103,0))),INDEX(Regras!$I$4:$I$103,MATCH($D88,Regras!$A$4:$A$103,0)),0))),""))</f>
        <v/>
      </c>
      <c r="V88" s="27">
        <f>IF($AG88&lt;&gt;"Pronta","",IFERROR(IF($H88/$S88&lt;=INDEX(Regras!$J$4:$J$103,MATCH($D88,Regras!$A$4:$A$103,0)),INDEX(Regras!$L$4:$L$103,MATCH($D88,Regras!$A$4:$A$103,0)),IF($H88/$S88&gt;=INDEX(Regras!$K$4:$K$103,MATCH($D88,Regras!$A$4:$A$103,0)),INDEX(Regras!$M$4:$M$103,MATCH($D88,Regras!$A$4:$A$103,0)),0)),""))</f>
        <v/>
      </c>
      <c r="W88" s="27">
        <f>IF($AG88&lt;&gt;"Pronta","",SUM($T88:$V88))</f>
        <v/>
      </c>
      <c r="X88" s="27">
        <f>IF($AG88&lt;&gt;"Pronta","",IFERROR(MAX(-INDEX(Regras!$N$4:$N$103,MATCH($D88,Regras!$A$4:$A$103,0)),MIN(INDEX(Regras!$N$4:$N$103,MATCH($D88,Regras!$A$4:$A$103,0)),$W88)),""))</f>
        <v/>
      </c>
      <c r="Y88" s="19">
        <f>IF($AG88&lt;&gt;"Pronta","",IFERROR(ROUND($E88*(1+$X88),2),""))</f>
        <v/>
      </c>
      <c r="Z88" s="29">
        <f>IF(OR($AG88&lt;&gt;"Pronta",$Q88="",$R88=""),"",IFERROR(ROUND(MIN($R88,MAX($Q88,$Y88)),2),""))</f>
        <v/>
      </c>
      <c r="AA88" s="27">
        <f>IF(OR($E88="",$Z88=""),"",IFERROR($Z88/$E88-1,""))</f>
        <v/>
      </c>
      <c r="AB88" s="26">
        <f>IF($Z88="","",IF($Y88&lt;$Q88,"Piso",IF($Y88&gt;$R88,"Teto","Nenhuma")))</f>
        <v/>
      </c>
      <c r="AC88" s="21">
        <f>IF($A88="","",IF($AG88&lt;&gt;"Pronta","Aguardando dados válidos",_xlfn.TEXTJOIN(" | ",TRUE,IF($T88&gt;0,"Demanda: aumento",IF($T88&lt;0,"Demanda: redução","")),IF($U88&gt;0,"Concorrência: aumento",IF($U88&lt;0,"Concorrência: redução","")),IF($V88&gt;0,"Estoque: aumento",IF($V88&lt;0,"Estoque: redução","")),IF(ABS($W88-$X88)&gt;0.0000001,"Limite da rodada aplicado",""),IF($AB88="Piso","Piso vigente aplicado",IF($AB88="Teto","Teto aplicado","")),IF(AND($T88=0,$U88=0,$V88=0),"Sem gatilho de reajuste",""))))</f>
        <v/>
      </c>
      <c r="AD88" s="21">
        <f>IF(OR($A88="",$AG88&lt;&gt;"Pronta"),"",_xlfn.TEXTJOIN(" | ",TRUE,IF($E88&lt;$Q88,"Preço atual abaixo do piso",""),IF($E88&gt;$R88,"Preço atual acima do teto",""),IF(AND($N88&gt;0,$E88&gt;0,1-$N88/$E88&lt;$O88),"Margem estimada do preço atual abaixo do mínimo",""),IF($G88="","Preço concorrente não informado",""),IF($AB88="Piso","Recomendação travada no piso",""),IF($AB88="Teto","Recomendação travada no teto","")))</f>
        <v/>
      </c>
      <c r="AE88" s="19">
        <f>IF($AG88&lt;&gt;"Pronta","",IF($I88="Aprovar recomendação",$Z88,IF($I88="Manter preço atual",$E88,IF($I88="Definir manualmente",$J88,""))))</f>
        <v/>
      </c>
      <c r="AF88" s="21">
        <f>IF($A88="","",IF($AG88&lt;&gt;"Pronta","Aguardando correção",IF(OR($I88="",$I88="Pendente"),"Decisão pendente",IF(AND($I88="Definir manualmente",OR($J88="",$J88&lt;=0)),"Informe o preço manual",IF(OR($AE88&lt;$Q88,$AE88&gt;$R88),"Preço final fora do piso/teto","OK")))))</f>
        <v/>
      </c>
      <c r="AG88" s="26">
        <f>IF(COUNTA($A88:$K88)=0,"",IF(OR($A88="",$B88="",$C88="",$D88="",$E88="",$F88="",$H88=""),"Incompleta",IF(OR(COUNTIF($A$5:$A$204,$A88)&gt;1,NOT(ISNUMBER($B88)),COUNTIF(Produtos!$A$4:$A$103,$C88)&lt;&gt;1,IFERROR(INDEX(Produtos!$K$4:$K$103,MATCH($C88,Produtos!$A$4:$A$103,0))&lt;&gt;"Ativo",TRUE),IFERROR(INDEX(Produtos!$L$4:$L$103,MATCH($C88,Produtos!$A$4:$A$103,0))&lt;&gt;"OK",TRUE),COUNTIF(Regras!$A$4:$A$103,$D88)&lt;&gt;1,IFERROR(INDEX(Regras!$O$4:$O$103,MATCH($D88,Regras!$A$4:$A$103,0))&lt;&gt;"Sim",TRUE),IFERROR(INDEX(Regras!$P$4:$P$103,MATCH($D88,Regras!$A$4:$A$103,0))&lt;&gt;"OK",TRUE),NOT(ISNUMBER($E88)),$E88&lt;=0,NOT(ISNUMBER($F88)),$F88&lt;0,$F88&gt;5,NOT(ISNUMBER($H88)),$H88&lt;0,$H88&lt;&gt;INT($H88),AND($G88&lt;&gt;"",OR(NOT(ISNUMBER($G88)),$G88&lt;=0))),"Revisar","Pronta")))</f>
        <v/>
      </c>
    </row>
    <row r="89">
      <c r="A89" s="16" t="n"/>
      <c r="B89" s="24" t="n"/>
      <c r="C89" s="16" t="n"/>
      <c r="D89" s="16" t="n"/>
      <c r="E89" s="17" t="n"/>
      <c r="F89" s="18" t="n"/>
      <c r="G89" s="17" t="n"/>
      <c r="H89" s="20" t="n"/>
      <c r="I89" s="16" t="n"/>
      <c r="J89" s="17" t="n"/>
      <c r="K89" s="25" t="n"/>
      <c r="L89" s="26">
        <f>IF($C89="","",IFERROR(INDEX(Produtos!$B$4:$B$103,MATCH($C89,Produtos!$A$4:$A$103,0)),""))</f>
        <v/>
      </c>
      <c r="M89" s="26">
        <f>IF($C89="","",IFERROR(INDEX(Produtos!$C$4:$C$103,MATCH($C89,Produtos!$A$4:$A$103,0)),""))</f>
        <v/>
      </c>
      <c r="N89" s="19">
        <f>IF($C89="","",IFERROR(INDEX(Produtos!$D$4:$D$103,MATCH($C89,Produtos!$A$4:$A$103,0)),""))</f>
        <v/>
      </c>
      <c r="O89" s="27">
        <f>IF($C89="","",IFERROR(INDEX(Produtos!$E$4:$E$103,MATCH($C89,Produtos!$A$4:$A$103,0)),""))</f>
        <v/>
      </c>
      <c r="P89" s="19">
        <f>IF($C89="","",IFERROR(INDEX(Produtos!$G$4:$G$103,MATCH($C89,Produtos!$A$4:$A$103,0)),""))</f>
        <v/>
      </c>
      <c r="Q89" s="19">
        <f>IF($C89="","",IFERROR(INDEX(Produtos!$H$4:$H$103,MATCH($C89,Produtos!$A$4:$A$103,0)),""))</f>
        <v/>
      </c>
      <c r="R89" s="19">
        <f>IF($C89="","",IFERROR(INDEX(Produtos!$I$4:$I$103,MATCH($C89,Produtos!$A$4:$A$103,0)),""))</f>
        <v/>
      </c>
      <c r="S89" s="28">
        <f>IF($C89="","",IFERROR(INDEX(Produtos!$J$4:$J$103,MATCH($C89,Produtos!$A$4:$A$103,0)),""))</f>
        <v/>
      </c>
      <c r="T89" s="27">
        <f>IF($AG89&lt;&gt;"Pronta","",IFERROR(IF($F89&lt;=INDEX(Regras!$C$4:$C$103,MATCH($D89,Regras!$A$4:$A$103,0)),INDEX(Regras!$E$4:$E$103,MATCH($D89,Regras!$A$4:$A$103,0)),IF($F89&gt;=INDEX(Regras!$D$4:$D$103,MATCH($D89,Regras!$A$4:$A$103,0)),INDEX(Regras!$F$4:$F$103,MATCH($D89,Regras!$A$4:$A$103,0)),0)),""))</f>
        <v/>
      </c>
      <c r="U89" s="27">
        <f>IF($AG89&lt;&gt;"Pronta","",IFERROR(IF($G89="",0,IF($G89&lt;=$E89*(1-INDEX(Regras!$G$4:$G$103,MATCH($D89,Regras!$A$4:$A$103,0))),INDEX(Regras!$H$4:$H$103,MATCH($D89,Regras!$A$4:$A$103,0)),IF($G89&gt;=$E89*(1+INDEX(Regras!$G$4:$G$103,MATCH($D89,Regras!$A$4:$A$103,0))),INDEX(Regras!$I$4:$I$103,MATCH($D89,Regras!$A$4:$A$103,0)),0))),""))</f>
        <v/>
      </c>
      <c r="V89" s="27">
        <f>IF($AG89&lt;&gt;"Pronta","",IFERROR(IF($H89/$S89&lt;=INDEX(Regras!$J$4:$J$103,MATCH($D89,Regras!$A$4:$A$103,0)),INDEX(Regras!$L$4:$L$103,MATCH($D89,Regras!$A$4:$A$103,0)),IF($H89/$S89&gt;=INDEX(Regras!$K$4:$K$103,MATCH($D89,Regras!$A$4:$A$103,0)),INDEX(Regras!$M$4:$M$103,MATCH($D89,Regras!$A$4:$A$103,0)),0)),""))</f>
        <v/>
      </c>
      <c r="W89" s="27">
        <f>IF($AG89&lt;&gt;"Pronta","",SUM($T89:$V89))</f>
        <v/>
      </c>
      <c r="X89" s="27">
        <f>IF($AG89&lt;&gt;"Pronta","",IFERROR(MAX(-INDEX(Regras!$N$4:$N$103,MATCH($D89,Regras!$A$4:$A$103,0)),MIN(INDEX(Regras!$N$4:$N$103,MATCH($D89,Regras!$A$4:$A$103,0)),$W89)),""))</f>
        <v/>
      </c>
      <c r="Y89" s="19">
        <f>IF($AG89&lt;&gt;"Pronta","",IFERROR(ROUND($E89*(1+$X89),2),""))</f>
        <v/>
      </c>
      <c r="Z89" s="29">
        <f>IF(OR($AG89&lt;&gt;"Pronta",$Q89="",$R89=""),"",IFERROR(ROUND(MIN($R89,MAX($Q89,$Y89)),2),""))</f>
        <v/>
      </c>
      <c r="AA89" s="27">
        <f>IF(OR($E89="",$Z89=""),"",IFERROR($Z89/$E89-1,""))</f>
        <v/>
      </c>
      <c r="AB89" s="26">
        <f>IF($Z89="","",IF($Y89&lt;$Q89,"Piso",IF($Y89&gt;$R89,"Teto","Nenhuma")))</f>
        <v/>
      </c>
      <c r="AC89" s="21">
        <f>IF($A89="","",IF($AG89&lt;&gt;"Pronta","Aguardando dados válidos",_xlfn.TEXTJOIN(" | ",TRUE,IF($T89&gt;0,"Demanda: aumento",IF($T89&lt;0,"Demanda: redução","")),IF($U89&gt;0,"Concorrência: aumento",IF($U89&lt;0,"Concorrência: redução","")),IF($V89&gt;0,"Estoque: aumento",IF($V89&lt;0,"Estoque: redução","")),IF(ABS($W89-$X89)&gt;0.0000001,"Limite da rodada aplicado",""),IF($AB89="Piso","Piso vigente aplicado",IF($AB89="Teto","Teto aplicado","")),IF(AND($T89=0,$U89=0,$V89=0),"Sem gatilho de reajuste",""))))</f>
        <v/>
      </c>
      <c r="AD89" s="21">
        <f>IF(OR($A89="",$AG89&lt;&gt;"Pronta"),"",_xlfn.TEXTJOIN(" | ",TRUE,IF($E89&lt;$Q89,"Preço atual abaixo do piso",""),IF($E89&gt;$R89,"Preço atual acima do teto",""),IF(AND($N89&gt;0,$E89&gt;0,1-$N89/$E89&lt;$O89),"Margem estimada do preço atual abaixo do mínimo",""),IF($G89="","Preço concorrente não informado",""),IF($AB89="Piso","Recomendação travada no piso",""),IF($AB89="Teto","Recomendação travada no teto","")))</f>
        <v/>
      </c>
      <c r="AE89" s="19">
        <f>IF($AG89&lt;&gt;"Pronta","",IF($I89="Aprovar recomendação",$Z89,IF($I89="Manter preço atual",$E89,IF($I89="Definir manualmente",$J89,""))))</f>
        <v/>
      </c>
      <c r="AF89" s="21">
        <f>IF($A89="","",IF($AG89&lt;&gt;"Pronta","Aguardando correção",IF(OR($I89="",$I89="Pendente"),"Decisão pendente",IF(AND($I89="Definir manualmente",OR($J89="",$J89&lt;=0)),"Informe o preço manual",IF(OR($AE89&lt;$Q89,$AE89&gt;$R89),"Preço final fora do piso/teto","OK")))))</f>
        <v/>
      </c>
      <c r="AG89" s="26">
        <f>IF(COUNTA($A89:$K89)=0,"",IF(OR($A89="",$B89="",$C89="",$D89="",$E89="",$F89="",$H89=""),"Incompleta",IF(OR(COUNTIF($A$5:$A$204,$A89)&gt;1,NOT(ISNUMBER($B89)),COUNTIF(Produtos!$A$4:$A$103,$C89)&lt;&gt;1,IFERROR(INDEX(Produtos!$K$4:$K$103,MATCH($C89,Produtos!$A$4:$A$103,0))&lt;&gt;"Ativo",TRUE),IFERROR(INDEX(Produtos!$L$4:$L$103,MATCH($C89,Produtos!$A$4:$A$103,0))&lt;&gt;"OK",TRUE),COUNTIF(Regras!$A$4:$A$103,$D89)&lt;&gt;1,IFERROR(INDEX(Regras!$O$4:$O$103,MATCH($D89,Regras!$A$4:$A$103,0))&lt;&gt;"Sim",TRUE),IFERROR(INDEX(Regras!$P$4:$P$103,MATCH($D89,Regras!$A$4:$A$103,0))&lt;&gt;"OK",TRUE),NOT(ISNUMBER($E89)),$E89&lt;=0,NOT(ISNUMBER($F89)),$F89&lt;0,$F89&gt;5,NOT(ISNUMBER($H89)),$H89&lt;0,$H89&lt;&gt;INT($H89),AND($G89&lt;&gt;"",OR(NOT(ISNUMBER($G89)),$G89&lt;=0))),"Revisar","Pronta")))</f>
        <v/>
      </c>
    </row>
    <row r="90">
      <c r="A90" s="16" t="n"/>
      <c r="B90" s="24" t="n"/>
      <c r="C90" s="16" t="n"/>
      <c r="D90" s="16" t="n"/>
      <c r="E90" s="17" t="n"/>
      <c r="F90" s="18" t="n"/>
      <c r="G90" s="17" t="n"/>
      <c r="H90" s="20" t="n"/>
      <c r="I90" s="16" t="n"/>
      <c r="J90" s="17" t="n"/>
      <c r="K90" s="25" t="n"/>
      <c r="L90" s="26">
        <f>IF($C90="","",IFERROR(INDEX(Produtos!$B$4:$B$103,MATCH($C90,Produtos!$A$4:$A$103,0)),""))</f>
        <v/>
      </c>
      <c r="M90" s="26">
        <f>IF($C90="","",IFERROR(INDEX(Produtos!$C$4:$C$103,MATCH($C90,Produtos!$A$4:$A$103,0)),""))</f>
        <v/>
      </c>
      <c r="N90" s="19">
        <f>IF($C90="","",IFERROR(INDEX(Produtos!$D$4:$D$103,MATCH($C90,Produtos!$A$4:$A$103,0)),""))</f>
        <v/>
      </c>
      <c r="O90" s="27">
        <f>IF($C90="","",IFERROR(INDEX(Produtos!$E$4:$E$103,MATCH($C90,Produtos!$A$4:$A$103,0)),""))</f>
        <v/>
      </c>
      <c r="P90" s="19">
        <f>IF($C90="","",IFERROR(INDEX(Produtos!$G$4:$G$103,MATCH($C90,Produtos!$A$4:$A$103,0)),""))</f>
        <v/>
      </c>
      <c r="Q90" s="19">
        <f>IF($C90="","",IFERROR(INDEX(Produtos!$H$4:$H$103,MATCH($C90,Produtos!$A$4:$A$103,0)),""))</f>
        <v/>
      </c>
      <c r="R90" s="19">
        <f>IF($C90="","",IFERROR(INDEX(Produtos!$I$4:$I$103,MATCH($C90,Produtos!$A$4:$A$103,0)),""))</f>
        <v/>
      </c>
      <c r="S90" s="28">
        <f>IF($C90="","",IFERROR(INDEX(Produtos!$J$4:$J$103,MATCH($C90,Produtos!$A$4:$A$103,0)),""))</f>
        <v/>
      </c>
      <c r="T90" s="27">
        <f>IF($AG90&lt;&gt;"Pronta","",IFERROR(IF($F90&lt;=INDEX(Regras!$C$4:$C$103,MATCH($D90,Regras!$A$4:$A$103,0)),INDEX(Regras!$E$4:$E$103,MATCH($D90,Regras!$A$4:$A$103,0)),IF($F90&gt;=INDEX(Regras!$D$4:$D$103,MATCH($D90,Regras!$A$4:$A$103,0)),INDEX(Regras!$F$4:$F$103,MATCH($D90,Regras!$A$4:$A$103,0)),0)),""))</f>
        <v/>
      </c>
      <c r="U90" s="27">
        <f>IF($AG90&lt;&gt;"Pronta","",IFERROR(IF($G90="",0,IF($G90&lt;=$E90*(1-INDEX(Regras!$G$4:$G$103,MATCH($D90,Regras!$A$4:$A$103,0))),INDEX(Regras!$H$4:$H$103,MATCH($D90,Regras!$A$4:$A$103,0)),IF($G90&gt;=$E90*(1+INDEX(Regras!$G$4:$G$103,MATCH($D90,Regras!$A$4:$A$103,0))),INDEX(Regras!$I$4:$I$103,MATCH($D90,Regras!$A$4:$A$103,0)),0))),""))</f>
        <v/>
      </c>
      <c r="V90" s="27">
        <f>IF($AG90&lt;&gt;"Pronta","",IFERROR(IF($H90/$S90&lt;=INDEX(Regras!$J$4:$J$103,MATCH($D90,Regras!$A$4:$A$103,0)),INDEX(Regras!$L$4:$L$103,MATCH($D90,Regras!$A$4:$A$103,0)),IF($H90/$S90&gt;=INDEX(Regras!$K$4:$K$103,MATCH($D90,Regras!$A$4:$A$103,0)),INDEX(Regras!$M$4:$M$103,MATCH($D90,Regras!$A$4:$A$103,0)),0)),""))</f>
        <v/>
      </c>
      <c r="W90" s="27">
        <f>IF($AG90&lt;&gt;"Pronta","",SUM($T90:$V90))</f>
        <v/>
      </c>
      <c r="X90" s="27">
        <f>IF($AG90&lt;&gt;"Pronta","",IFERROR(MAX(-INDEX(Regras!$N$4:$N$103,MATCH($D90,Regras!$A$4:$A$103,0)),MIN(INDEX(Regras!$N$4:$N$103,MATCH($D90,Regras!$A$4:$A$103,0)),$W90)),""))</f>
        <v/>
      </c>
      <c r="Y90" s="19">
        <f>IF($AG90&lt;&gt;"Pronta","",IFERROR(ROUND($E90*(1+$X90),2),""))</f>
        <v/>
      </c>
      <c r="Z90" s="29">
        <f>IF(OR($AG90&lt;&gt;"Pronta",$Q90="",$R90=""),"",IFERROR(ROUND(MIN($R90,MAX($Q90,$Y90)),2),""))</f>
        <v/>
      </c>
      <c r="AA90" s="27">
        <f>IF(OR($E90="",$Z90=""),"",IFERROR($Z90/$E90-1,""))</f>
        <v/>
      </c>
      <c r="AB90" s="26">
        <f>IF($Z90="","",IF($Y90&lt;$Q90,"Piso",IF($Y90&gt;$R90,"Teto","Nenhuma")))</f>
        <v/>
      </c>
      <c r="AC90" s="21">
        <f>IF($A90="","",IF($AG90&lt;&gt;"Pronta","Aguardando dados válidos",_xlfn.TEXTJOIN(" | ",TRUE,IF($T90&gt;0,"Demanda: aumento",IF($T90&lt;0,"Demanda: redução","")),IF($U90&gt;0,"Concorrência: aumento",IF($U90&lt;0,"Concorrência: redução","")),IF($V90&gt;0,"Estoque: aumento",IF($V90&lt;0,"Estoque: redução","")),IF(ABS($W90-$X90)&gt;0.0000001,"Limite da rodada aplicado",""),IF($AB90="Piso","Piso vigente aplicado",IF($AB90="Teto","Teto aplicado","")),IF(AND($T90=0,$U90=0,$V90=0),"Sem gatilho de reajuste",""))))</f>
        <v/>
      </c>
      <c r="AD90" s="21">
        <f>IF(OR($A90="",$AG90&lt;&gt;"Pronta"),"",_xlfn.TEXTJOIN(" | ",TRUE,IF($E90&lt;$Q90,"Preço atual abaixo do piso",""),IF($E90&gt;$R90,"Preço atual acima do teto",""),IF(AND($N90&gt;0,$E90&gt;0,1-$N90/$E90&lt;$O90),"Margem estimada do preço atual abaixo do mínimo",""),IF($G90="","Preço concorrente não informado",""),IF($AB90="Piso","Recomendação travada no piso",""),IF($AB90="Teto","Recomendação travada no teto","")))</f>
        <v/>
      </c>
      <c r="AE90" s="19">
        <f>IF($AG90&lt;&gt;"Pronta","",IF($I90="Aprovar recomendação",$Z90,IF($I90="Manter preço atual",$E90,IF($I90="Definir manualmente",$J90,""))))</f>
        <v/>
      </c>
      <c r="AF90" s="21">
        <f>IF($A90="","",IF($AG90&lt;&gt;"Pronta","Aguardando correção",IF(OR($I90="",$I90="Pendente"),"Decisão pendente",IF(AND($I90="Definir manualmente",OR($J90="",$J90&lt;=0)),"Informe o preço manual",IF(OR($AE90&lt;$Q90,$AE90&gt;$R90),"Preço final fora do piso/teto","OK")))))</f>
        <v/>
      </c>
      <c r="AG90" s="26">
        <f>IF(COUNTA($A90:$K90)=0,"",IF(OR($A90="",$B90="",$C90="",$D90="",$E90="",$F90="",$H90=""),"Incompleta",IF(OR(COUNTIF($A$5:$A$204,$A90)&gt;1,NOT(ISNUMBER($B90)),COUNTIF(Produtos!$A$4:$A$103,$C90)&lt;&gt;1,IFERROR(INDEX(Produtos!$K$4:$K$103,MATCH($C90,Produtos!$A$4:$A$103,0))&lt;&gt;"Ativo",TRUE),IFERROR(INDEX(Produtos!$L$4:$L$103,MATCH($C90,Produtos!$A$4:$A$103,0))&lt;&gt;"OK",TRUE),COUNTIF(Regras!$A$4:$A$103,$D90)&lt;&gt;1,IFERROR(INDEX(Regras!$O$4:$O$103,MATCH($D90,Regras!$A$4:$A$103,0))&lt;&gt;"Sim",TRUE),IFERROR(INDEX(Regras!$P$4:$P$103,MATCH($D90,Regras!$A$4:$A$103,0))&lt;&gt;"OK",TRUE),NOT(ISNUMBER($E90)),$E90&lt;=0,NOT(ISNUMBER($F90)),$F90&lt;0,$F90&gt;5,NOT(ISNUMBER($H90)),$H90&lt;0,$H90&lt;&gt;INT($H90),AND($G90&lt;&gt;"",OR(NOT(ISNUMBER($G90)),$G90&lt;=0))),"Revisar","Pronta")))</f>
        <v/>
      </c>
    </row>
    <row r="91">
      <c r="A91" s="16" t="n"/>
      <c r="B91" s="24" t="n"/>
      <c r="C91" s="16" t="n"/>
      <c r="D91" s="16" t="n"/>
      <c r="E91" s="17" t="n"/>
      <c r="F91" s="18" t="n"/>
      <c r="G91" s="17" t="n"/>
      <c r="H91" s="20" t="n"/>
      <c r="I91" s="16" t="n"/>
      <c r="J91" s="17" t="n"/>
      <c r="K91" s="25" t="n"/>
      <c r="L91" s="26">
        <f>IF($C91="","",IFERROR(INDEX(Produtos!$B$4:$B$103,MATCH($C91,Produtos!$A$4:$A$103,0)),""))</f>
        <v/>
      </c>
      <c r="M91" s="26">
        <f>IF($C91="","",IFERROR(INDEX(Produtos!$C$4:$C$103,MATCH($C91,Produtos!$A$4:$A$103,0)),""))</f>
        <v/>
      </c>
      <c r="N91" s="19">
        <f>IF($C91="","",IFERROR(INDEX(Produtos!$D$4:$D$103,MATCH($C91,Produtos!$A$4:$A$103,0)),""))</f>
        <v/>
      </c>
      <c r="O91" s="27">
        <f>IF($C91="","",IFERROR(INDEX(Produtos!$E$4:$E$103,MATCH($C91,Produtos!$A$4:$A$103,0)),""))</f>
        <v/>
      </c>
      <c r="P91" s="19">
        <f>IF($C91="","",IFERROR(INDEX(Produtos!$G$4:$G$103,MATCH($C91,Produtos!$A$4:$A$103,0)),""))</f>
        <v/>
      </c>
      <c r="Q91" s="19">
        <f>IF($C91="","",IFERROR(INDEX(Produtos!$H$4:$H$103,MATCH($C91,Produtos!$A$4:$A$103,0)),""))</f>
        <v/>
      </c>
      <c r="R91" s="19">
        <f>IF($C91="","",IFERROR(INDEX(Produtos!$I$4:$I$103,MATCH($C91,Produtos!$A$4:$A$103,0)),""))</f>
        <v/>
      </c>
      <c r="S91" s="28">
        <f>IF($C91="","",IFERROR(INDEX(Produtos!$J$4:$J$103,MATCH($C91,Produtos!$A$4:$A$103,0)),""))</f>
        <v/>
      </c>
      <c r="T91" s="27">
        <f>IF($AG91&lt;&gt;"Pronta","",IFERROR(IF($F91&lt;=INDEX(Regras!$C$4:$C$103,MATCH($D91,Regras!$A$4:$A$103,0)),INDEX(Regras!$E$4:$E$103,MATCH($D91,Regras!$A$4:$A$103,0)),IF($F91&gt;=INDEX(Regras!$D$4:$D$103,MATCH($D91,Regras!$A$4:$A$103,0)),INDEX(Regras!$F$4:$F$103,MATCH($D91,Regras!$A$4:$A$103,0)),0)),""))</f>
        <v/>
      </c>
      <c r="U91" s="27">
        <f>IF($AG91&lt;&gt;"Pronta","",IFERROR(IF($G91="",0,IF($G91&lt;=$E91*(1-INDEX(Regras!$G$4:$G$103,MATCH($D91,Regras!$A$4:$A$103,0))),INDEX(Regras!$H$4:$H$103,MATCH($D91,Regras!$A$4:$A$103,0)),IF($G91&gt;=$E91*(1+INDEX(Regras!$G$4:$G$103,MATCH($D91,Regras!$A$4:$A$103,0))),INDEX(Regras!$I$4:$I$103,MATCH($D91,Regras!$A$4:$A$103,0)),0))),""))</f>
        <v/>
      </c>
      <c r="V91" s="27">
        <f>IF($AG91&lt;&gt;"Pronta","",IFERROR(IF($H91/$S91&lt;=INDEX(Regras!$J$4:$J$103,MATCH($D91,Regras!$A$4:$A$103,0)),INDEX(Regras!$L$4:$L$103,MATCH($D91,Regras!$A$4:$A$103,0)),IF($H91/$S91&gt;=INDEX(Regras!$K$4:$K$103,MATCH($D91,Regras!$A$4:$A$103,0)),INDEX(Regras!$M$4:$M$103,MATCH($D91,Regras!$A$4:$A$103,0)),0)),""))</f>
        <v/>
      </c>
      <c r="W91" s="27">
        <f>IF($AG91&lt;&gt;"Pronta","",SUM($T91:$V91))</f>
        <v/>
      </c>
      <c r="X91" s="27">
        <f>IF($AG91&lt;&gt;"Pronta","",IFERROR(MAX(-INDEX(Regras!$N$4:$N$103,MATCH($D91,Regras!$A$4:$A$103,0)),MIN(INDEX(Regras!$N$4:$N$103,MATCH($D91,Regras!$A$4:$A$103,0)),$W91)),""))</f>
        <v/>
      </c>
      <c r="Y91" s="19">
        <f>IF($AG91&lt;&gt;"Pronta","",IFERROR(ROUND($E91*(1+$X91),2),""))</f>
        <v/>
      </c>
      <c r="Z91" s="29">
        <f>IF(OR($AG91&lt;&gt;"Pronta",$Q91="",$R91=""),"",IFERROR(ROUND(MIN($R91,MAX($Q91,$Y91)),2),""))</f>
        <v/>
      </c>
      <c r="AA91" s="27">
        <f>IF(OR($E91="",$Z91=""),"",IFERROR($Z91/$E91-1,""))</f>
        <v/>
      </c>
      <c r="AB91" s="26">
        <f>IF($Z91="","",IF($Y91&lt;$Q91,"Piso",IF($Y91&gt;$R91,"Teto","Nenhuma")))</f>
        <v/>
      </c>
      <c r="AC91" s="21">
        <f>IF($A91="","",IF($AG91&lt;&gt;"Pronta","Aguardando dados válidos",_xlfn.TEXTJOIN(" | ",TRUE,IF($T91&gt;0,"Demanda: aumento",IF($T91&lt;0,"Demanda: redução","")),IF($U91&gt;0,"Concorrência: aumento",IF($U91&lt;0,"Concorrência: redução","")),IF($V91&gt;0,"Estoque: aumento",IF($V91&lt;0,"Estoque: redução","")),IF(ABS($W91-$X91)&gt;0.0000001,"Limite da rodada aplicado",""),IF($AB91="Piso","Piso vigente aplicado",IF($AB91="Teto","Teto aplicado","")),IF(AND($T91=0,$U91=0,$V91=0),"Sem gatilho de reajuste",""))))</f>
        <v/>
      </c>
      <c r="AD91" s="21">
        <f>IF(OR($A91="",$AG91&lt;&gt;"Pronta"),"",_xlfn.TEXTJOIN(" | ",TRUE,IF($E91&lt;$Q91,"Preço atual abaixo do piso",""),IF($E91&gt;$R91,"Preço atual acima do teto",""),IF(AND($N91&gt;0,$E91&gt;0,1-$N91/$E91&lt;$O91),"Margem estimada do preço atual abaixo do mínimo",""),IF($G91="","Preço concorrente não informado",""),IF($AB91="Piso","Recomendação travada no piso",""),IF($AB91="Teto","Recomendação travada no teto","")))</f>
        <v/>
      </c>
      <c r="AE91" s="19">
        <f>IF($AG91&lt;&gt;"Pronta","",IF($I91="Aprovar recomendação",$Z91,IF($I91="Manter preço atual",$E91,IF($I91="Definir manualmente",$J91,""))))</f>
        <v/>
      </c>
      <c r="AF91" s="21">
        <f>IF($A91="","",IF($AG91&lt;&gt;"Pronta","Aguardando correção",IF(OR($I91="",$I91="Pendente"),"Decisão pendente",IF(AND($I91="Definir manualmente",OR($J91="",$J91&lt;=0)),"Informe o preço manual",IF(OR($AE91&lt;$Q91,$AE91&gt;$R91),"Preço final fora do piso/teto","OK")))))</f>
        <v/>
      </c>
      <c r="AG91" s="26">
        <f>IF(COUNTA($A91:$K91)=0,"",IF(OR($A91="",$B91="",$C91="",$D91="",$E91="",$F91="",$H91=""),"Incompleta",IF(OR(COUNTIF($A$5:$A$204,$A91)&gt;1,NOT(ISNUMBER($B91)),COUNTIF(Produtos!$A$4:$A$103,$C91)&lt;&gt;1,IFERROR(INDEX(Produtos!$K$4:$K$103,MATCH($C91,Produtos!$A$4:$A$103,0))&lt;&gt;"Ativo",TRUE),IFERROR(INDEX(Produtos!$L$4:$L$103,MATCH($C91,Produtos!$A$4:$A$103,0))&lt;&gt;"OK",TRUE),COUNTIF(Regras!$A$4:$A$103,$D91)&lt;&gt;1,IFERROR(INDEX(Regras!$O$4:$O$103,MATCH($D91,Regras!$A$4:$A$103,0))&lt;&gt;"Sim",TRUE),IFERROR(INDEX(Regras!$P$4:$P$103,MATCH($D91,Regras!$A$4:$A$103,0))&lt;&gt;"OK",TRUE),NOT(ISNUMBER($E91)),$E91&lt;=0,NOT(ISNUMBER($F91)),$F91&lt;0,$F91&gt;5,NOT(ISNUMBER($H91)),$H91&lt;0,$H91&lt;&gt;INT($H91),AND($G91&lt;&gt;"",OR(NOT(ISNUMBER($G91)),$G91&lt;=0))),"Revisar","Pronta")))</f>
        <v/>
      </c>
    </row>
    <row r="92">
      <c r="A92" s="16" t="n"/>
      <c r="B92" s="24" t="n"/>
      <c r="C92" s="16" t="n"/>
      <c r="D92" s="16" t="n"/>
      <c r="E92" s="17" t="n"/>
      <c r="F92" s="18" t="n"/>
      <c r="G92" s="17" t="n"/>
      <c r="H92" s="20" t="n"/>
      <c r="I92" s="16" t="n"/>
      <c r="J92" s="17" t="n"/>
      <c r="K92" s="25" t="n"/>
      <c r="L92" s="26">
        <f>IF($C92="","",IFERROR(INDEX(Produtos!$B$4:$B$103,MATCH($C92,Produtos!$A$4:$A$103,0)),""))</f>
        <v/>
      </c>
      <c r="M92" s="26">
        <f>IF($C92="","",IFERROR(INDEX(Produtos!$C$4:$C$103,MATCH($C92,Produtos!$A$4:$A$103,0)),""))</f>
        <v/>
      </c>
      <c r="N92" s="19">
        <f>IF($C92="","",IFERROR(INDEX(Produtos!$D$4:$D$103,MATCH($C92,Produtos!$A$4:$A$103,0)),""))</f>
        <v/>
      </c>
      <c r="O92" s="27">
        <f>IF($C92="","",IFERROR(INDEX(Produtos!$E$4:$E$103,MATCH($C92,Produtos!$A$4:$A$103,0)),""))</f>
        <v/>
      </c>
      <c r="P92" s="19">
        <f>IF($C92="","",IFERROR(INDEX(Produtos!$G$4:$G$103,MATCH($C92,Produtos!$A$4:$A$103,0)),""))</f>
        <v/>
      </c>
      <c r="Q92" s="19">
        <f>IF($C92="","",IFERROR(INDEX(Produtos!$H$4:$H$103,MATCH($C92,Produtos!$A$4:$A$103,0)),""))</f>
        <v/>
      </c>
      <c r="R92" s="19">
        <f>IF($C92="","",IFERROR(INDEX(Produtos!$I$4:$I$103,MATCH($C92,Produtos!$A$4:$A$103,0)),""))</f>
        <v/>
      </c>
      <c r="S92" s="28">
        <f>IF($C92="","",IFERROR(INDEX(Produtos!$J$4:$J$103,MATCH($C92,Produtos!$A$4:$A$103,0)),""))</f>
        <v/>
      </c>
      <c r="T92" s="27">
        <f>IF($AG92&lt;&gt;"Pronta","",IFERROR(IF($F92&lt;=INDEX(Regras!$C$4:$C$103,MATCH($D92,Regras!$A$4:$A$103,0)),INDEX(Regras!$E$4:$E$103,MATCH($D92,Regras!$A$4:$A$103,0)),IF($F92&gt;=INDEX(Regras!$D$4:$D$103,MATCH($D92,Regras!$A$4:$A$103,0)),INDEX(Regras!$F$4:$F$103,MATCH($D92,Regras!$A$4:$A$103,0)),0)),""))</f>
        <v/>
      </c>
      <c r="U92" s="27">
        <f>IF($AG92&lt;&gt;"Pronta","",IFERROR(IF($G92="",0,IF($G92&lt;=$E92*(1-INDEX(Regras!$G$4:$G$103,MATCH($D92,Regras!$A$4:$A$103,0))),INDEX(Regras!$H$4:$H$103,MATCH($D92,Regras!$A$4:$A$103,0)),IF($G92&gt;=$E92*(1+INDEX(Regras!$G$4:$G$103,MATCH($D92,Regras!$A$4:$A$103,0))),INDEX(Regras!$I$4:$I$103,MATCH($D92,Regras!$A$4:$A$103,0)),0))),""))</f>
        <v/>
      </c>
      <c r="V92" s="27">
        <f>IF($AG92&lt;&gt;"Pronta","",IFERROR(IF($H92/$S92&lt;=INDEX(Regras!$J$4:$J$103,MATCH($D92,Regras!$A$4:$A$103,0)),INDEX(Regras!$L$4:$L$103,MATCH($D92,Regras!$A$4:$A$103,0)),IF($H92/$S92&gt;=INDEX(Regras!$K$4:$K$103,MATCH($D92,Regras!$A$4:$A$103,0)),INDEX(Regras!$M$4:$M$103,MATCH($D92,Regras!$A$4:$A$103,0)),0)),""))</f>
        <v/>
      </c>
      <c r="W92" s="27">
        <f>IF($AG92&lt;&gt;"Pronta","",SUM($T92:$V92))</f>
        <v/>
      </c>
      <c r="X92" s="27">
        <f>IF($AG92&lt;&gt;"Pronta","",IFERROR(MAX(-INDEX(Regras!$N$4:$N$103,MATCH($D92,Regras!$A$4:$A$103,0)),MIN(INDEX(Regras!$N$4:$N$103,MATCH($D92,Regras!$A$4:$A$103,0)),$W92)),""))</f>
        <v/>
      </c>
      <c r="Y92" s="19">
        <f>IF($AG92&lt;&gt;"Pronta","",IFERROR(ROUND($E92*(1+$X92),2),""))</f>
        <v/>
      </c>
      <c r="Z92" s="29">
        <f>IF(OR($AG92&lt;&gt;"Pronta",$Q92="",$R92=""),"",IFERROR(ROUND(MIN($R92,MAX($Q92,$Y92)),2),""))</f>
        <v/>
      </c>
      <c r="AA92" s="27">
        <f>IF(OR($E92="",$Z92=""),"",IFERROR($Z92/$E92-1,""))</f>
        <v/>
      </c>
      <c r="AB92" s="26">
        <f>IF($Z92="","",IF($Y92&lt;$Q92,"Piso",IF($Y92&gt;$R92,"Teto","Nenhuma")))</f>
        <v/>
      </c>
      <c r="AC92" s="21">
        <f>IF($A92="","",IF($AG92&lt;&gt;"Pronta","Aguardando dados válidos",_xlfn.TEXTJOIN(" | ",TRUE,IF($T92&gt;0,"Demanda: aumento",IF($T92&lt;0,"Demanda: redução","")),IF($U92&gt;0,"Concorrência: aumento",IF($U92&lt;0,"Concorrência: redução","")),IF($V92&gt;0,"Estoque: aumento",IF($V92&lt;0,"Estoque: redução","")),IF(ABS($W92-$X92)&gt;0.0000001,"Limite da rodada aplicado",""),IF($AB92="Piso","Piso vigente aplicado",IF($AB92="Teto","Teto aplicado","")),IF(AND($T92=0,$U92=0,$V92=0),"Sem gatilho de reajuste",""))))</f>
        <v/>
      </c>
      <c r="AD92" s="21">
        <f>IF(OR($A92="",$AG92&lt;&gt;"Pronta"),"",_xlfn.TEXTJOIN(" | ",TRUE,IF($E92&lt;$Q92,"Preço atual abaixo do piso",""),IF($E92&gt;$R92,"Preço atual acima do teto",""),IF(AND($N92&gt;0,$E92&gt;0,1-$N92/$E92&lt;$O92),"Margem estimada do preço atual abaixo do mínimo",""),IF($G92="","Preço concorrente não informado",""),IF($AB92="Piso","Recomendação travada no piso",""),IF($AB92="Teto","Recomendação travada no teto","")))</f>
        <v/>
      </c>
      <c r="AE92" s="19">
        <f>IF($AG92&lt;&gt;"Pronta","",IF($I92="Aprovar recomendação",$Z92,IF($I92="Manter preço atual",$E92,IF($I92="Definir manualmente",$J92,""))))</f>
        <v/>
      </c>
      <c r="AF92" s="21">
        <f>IF($A92="","",IF($AG92&lt;&gt;"Pronta","Aguardando correção",IF(OR($I92="",$I92="Pendente"),"Decisão pendente",IF(AND($I92="Definir manualmente",OR($J92="",$J92&lt;=0)),"Informe o preço manual",IF(OR($AE92&lt;$Q92,$AE92&gt;$R92),"Preço final fora do piso/teto","OK")))))</f>
        <v/>
      </c>
      <c r="AG92" s="26">
        <f>IF(COUNTA($A92:$K92)=0,"",IF(OR($A92="",$B92="",$C92="",$D92="",$E92="",$F92="",$H92=""),"Incompleta",IF(OR(COUNTIF($A$5:$A$204,$A92)&gt;1,NOT(ISNUMBER($B92)),COUNTIF(Produtos!$A$4:$A$103,$C92)&lt;&gt;1,IFERROR(INDEX(Produtos!$K$4:$K$103,MATCH($C92,Produtos!$A$4:$A$103,0))&lt;&gt;"Ativo",TRUE),IFERROR(INDEX(Produtos!$L$4:$L$103,MATCH($C92,Produtos!$A$4:$A$103,0))&lt;&gt;"OK",TRUE),COUNTIF(Regras!$A$4:$A$103,$D92)&lt;&gt;1,IFERROR(INDEX(Regras!$O$4:$O$103,MATCH($D92,Regras!$A$4:$A$103,0))&lt;&gt;"Sim",TRUE),IFERROR(INDEX(Regras!$P$4:$P$103,MATCH($D92,Regras!$A$4:$A$103,0))&lt;&gt;"OK",TRUE),NOT(ISNUMBER($E92)),$E92&lt;=0,NOT(ISNUMBER($F92)),$F92&lt;0,$F92&gt;5,NOT(ISNUMBER($H92)),$H92&lt;0,$H92&lt;&gt;INT($H92),AND($G92&lt;&gt;"",OR(NOT(ISNUMBER($G92)),$G92&lt;=0))),"Revisar","Pronta")))</f>
        <v/>
      </c>
    </row>
    <row r="93">
      <c r="A93" s="16" t="n"/>
      <c r="B93" s="24" t="n"/>
      <c r="C93" s="16" t="n"/>
      <c r="D93" s="16" t="n"/>
      <c r="E93" s="17" t="n"/>
      <c r="F93" s="18" t="n"/>
      <c r="G93" s="17" t="n"/>
      <c r="H93" s="20" t="n"/>
      <c r="I93" s="16" t="n"/>
      <c r="J93" s="17" t="n"/>
      <c r="K93" s="25" t="n"/>
      <c r="L93" s="26">
        <f>IF($C93="","",IFERROR(INDEX(Produtos!$B$4:$B$103,MATCH($C93,Produtos!$A$4:$A$103,0)),""))</f>
        <v/>
      </c>
      <c r="M93" s="26">
        <f>IF($C93="","",IFERROR(INDEX(Produtos!$C$4:$C$103,MATCH($C93,Produtos!$A$4:$A$103,0)),""))</f>
        <v/>
      </c>
      <c r="N93" s="19">
        <f>IF($C93="","",IFERROR(INDEX(Produtos!$D$4:$D$103,MATCH($C93,Produtos!$A$4:$A$103,0)),""))</f>
        <v/>
      </c>
      <c r="O93" s="27">
        <f>IF($C93="","",IFERROR(INDEX(Produtos!$E$4:$E$103,MATCH($C93,Produtos!$A$4:$A$103,0)),""))</f>
        <v/>
      </c>
      <c r="P93" s="19">
        <f>IF($C93="","",IFERROR(INDEX(Produtos!$G$4:$G$103,MATCH($C93,Produtos!$A$4:$A$103,0)),""))</f>
        <v/>
      </c>
      <c r="Q93" s="19">
        <f>IF($C93="","",IFERROR(INDEX(Produtos!$H$4:$H$103,MATCH($C93,Produtos!$A$4:$A$103,0)),""))</f>
        <v/>
      </c>
      <c r="R93" s="19">
        <f>IF($C93="","",IFERROR(INDEX(Produtos!$I$4:$I$103,MATCH($C93,Produtos!$A$4:$A$103,0)),""))</f>
        <v/>
      </c>
      <c r="S93" s="28">
        <f>IF($C93="","",IFERROR(INDEX(Produtos!$J$4:$J$103,MATCH($C93,Produtos!$A$4:$A$103,0)),""))</f>
        <v/>
      </c>
      <c r="T93" s="27">
        <f>IF($AG93&lt;&gt;"Pronta","",IFERROR(IF($F93&lt;=INDEX(Regras!$C$4:$C$103,MATCH($D93,Regras!$A$4:$A$103,0)),INDEX(Regras!$E$4:$E$103,MATCH($D93,Regras!$A$4:$A$103,0)),IF($F93&gt;=INDEX(Regras!$D$4:$D$103,MATCH($D93,Regras!$A$4:$A$103,0)),INDEX(Regras!$F$4:$F$103,MATCH($D93,Regras!$A$4:$A$103,0)),0)),""))</f>
        <v/>
      </c>
      <c r="U93" s="27">
        <f>IF($AG93&lt;&gt;"Pronta","",IFERROR(IF($G93="",0,IF($G93&lt;=$E93*(1-INDEX(Regras!$G$4:$G$103,MATCH($D93,Regras!$A$4:$A$103,0))),INDEX(Regras!$H$4:$H$103,MATCH($D93,Regras!$A$4:$A$103,0)),IF($G93&gt;=$E93*(1+INDEX(Regras!$G$4:$G$103,MATCH($D93,Regras!$A$4:$A$103,0))),INDEX(Regras!$I$4:$I$103,MATCH($D93,Regras!$A$4:$A$103,0)),0))),""))</f>
        <v/>
      </c>
      <c r="V93" s="27">
        <f>IF($AG93&lt;&gt;"Pronta","",IFERROR(IF($H93/$S93&lt;=INDEX(Regras!$J$4:$J$103,MATCH($D93,Regras!$A$4:$A$103,0)),INDEX(Regras!$L$4:$L$103,MATCH($D93,Regras!$A$4:$A$103,0)),IF($H93/$S93&gt;=INDEX(Regras!$K$4:$K$103,MATCH($D93,Regras!$A$4:$A$103,0)),INDEX(Regras!$M$4:$M$103,MATCH($D93,Regras!$A$4:$A$103,0)),0)),""))</f>
        <v/>
      </c>
      <c r="W93" s="27">
        <f>IF($AG93&lt;&gt;"Pronta","",SUM($T93:$V93))</f>
        <v/>
      </c>
      <c r="X93" s="27">
        <f>IF($AG93&lt;&gt;"Pronta","",IFERROR(MAX(-INDEX(Regras!$N$4:$N$103,MATCH($D93,Regras!$A$4:$A$103,0)),MIN(INDEX(Regras!$N$4:$N$103,MATCH($D93,Regras!$A$4:$A$103,0)),$W93)),""))</f>
        <v/>
      </c>
      <c r="Y93" s="19">
        <f>IF($AG93&lt;&gt;"Pronta","",IFERROR(ROUND($E93*(1+$X93),2),""))</f>
        <v/>
      </c>
      <c r="Z93" s="29">
        <f>IF(OR($AG93&lt;&gt;"Pronta",$Q93="",$R93=""),"",IFERROR(ROUND(MIN($R93,MAX($Q93,$Y93)),2),""))</f>
        <v/>
      </c>
      <c r="AA93" s="27">
        <f>IF(OR($E93="",$Z93=""),"",IFERROR($Z93/$E93-1,""))</f>
        <v/>
      </c>
      <c r="AB93" s="26">
        <f>IF($Z93="","",IF($Y93&lt;$Q93,"Piso",IF($Y93&gt;$R93,"Teto","Nenhuma")))</f>
        <v/>
      </c>
      <c r="AC93" s="21">
        <f>IF($A93="","",IF($AG93&lt;&gt;"Pronta","Aguardando dados válidos",_xlfn.TEXTJOIN(" | ",TRUE,IF($T93&gt;0,"Demanda: aumento",IF($T93&lt;0,"Demanda: redução","")),IF($U93&gt;0,"Concorrência: aumento",IF($U93&lt;0,"Concorrência: redução","")),IF($V93&gt;0,"Estoque: aumento",IF($V93&lt;0,"Estoque: redução","")),IF(ABS($W93-$X93)&gt;0.0000001,"Limite da rodada aplicado",""),IF($AB93="Piso","Piso vigente aplicado",IF($AB93="Teto","Teto aplicado","")),IF(AND($T93=0,$U93=0,$V93=0),"Sem gatilho de reajuste",""))))</f>
        <v/>
      </c>
      <c r="AD93" s="21">
        <f>IF(OR($A93="",$AG93&lt;&gt;"Pronta"),"",_xlfn.TEXTJOIN(" | ",TRUE,IF($E93&lt;$Q93,"Preço atual abaixo do piso",""),IF($E93&gt;$R93,"Preço atual acima do teto",""),IF(AND($N93&gt;0,$E93&gt;0,1-$N93/$E93&lt;$O93),"Margem estimada do preço atual abaixo do mínimo",""),IF($G93="","Preço concorrente não informado",""),IF($AB93="Piso","Recomendação travada no piso",""),IF($AB93="Teto","Recomendação travada no teto","")))</f>
        <v/>
      </c>
      <c r="AE93" s="19">
        <f>IF($AG93&lt;&gt;"Pronta","",IF($I93="Aprovar recomendação",$Z93,IF($I93="Manter preço atual",$E93,IF($I93="Definir manualmente",$J93,""))))</f>
        <v/>
      </c>
      <c r="AF93" s="21">
        <f>IF($A93="","",IF($AG93&lt;&gt;"Pronta","Aguardando correção",IF(OR($I93="",$I93="Pendente"),"Decisão pendente",IF(AND($I93="Definir manualmente",OR($J93="",$J93&lt;=0)),"Informe o preço manual",IF(OR($AE93&lt;$Q93,$AE93&gt;$R93),"Preço final fora do piso/teto","OK")))))</f>
        <v/>
      </c>
      <c r="AG93" s="26">
        <f>IF(COUNTA($A93:$K93)=0,"",IF(OR($A93="",$B93="",$C93="",$D93="",$E93="",$F93="",$H93=""),"Incompleta",IF(OR(COUNTIF($A$5:$A$204,$A93)&gt;1,NOT(ISNUMBER($B93)),COUNTIF(Produtos!$A$4:$A$103,$C93)&lt;&gt;1,IFERROR(INDEX(Produtos!$K$4:$K$103,MATCH($C93,Produtos!$A$4:$A$103,0))&lt;&gt;"Ativo",TRUE),IFERROR(INDEX(Produtos!$L$4:$L$103,MATCH($C93,Produtos!$A$4:$A$103,0))&lt;&gt;"OK",TRUE),COUNTIF(Regras!$A$4:$A$103,$D93)&lt;&gt;1,IFERROR(INDEX(Regras!$O$4:$O$103,MATCH($D93,Regras!$A$4:$A$103,0))&lt;&gt;"Sim",TRUE),IFERROR(INDEX(Regras!$P$4:$P$103,MATCH($D93,Regras!$A$4:$A$103,0))&lt;&gt;"OK",TRUE),NOT(ISNUMBER($E93)),$E93&lt;=0,NOT(ISNUMBER($F93)),$F93&lt;0,$F93&gt;5,NOT(ISNUMBER($H93)),$H93&lt;0,$H93&lt;&gt;INT($H93),AND($G93&lt;&gt;"",OR(NOT(ISNUMBER($G93)),$G93&lt;=0))),"Revisar","Pronta")))</f>
        <v/>
      </c>
    </row>
    <row r="94">
      <c r="A94" s="16" t="n"/>
      <c r="B94" s="24" t="n"/>
      <c r="C94" s="16" t="n"/>
      <c r="D94" s="16" t="n"/>
      <c r="E94" s="17" t="n"/>
      <c r="F94" s="18" t="n"/>
      <c r="G94" s="17" t="n"/>
      <c r="H94" s="20" t="n"/>
      <c r="I94" s="16" t="n"/>
      <c r="J94" s="17" t="n"/>
      <c r="K94" s="25" t="n"/>
      <c r="L94" s="26">
        <f>IF($C94="","",IFERROR(INDEX(Produtos!$B$4:$B$103,MATCH($C94,Produtos!$A$4:$A$103,0)),""))</f>
        <v/>
      </c>
      <c r="M94" s="26">
        <f>IF($C94="","",IFERROR(INDEX(Produtos!$C$4:$C$103,MATCH($C94,Produtos!$A$4:$A$103,0)),""))</f>
        <v/>
      </c>
      <c r="N94" s="19">
        <f>IF($C94="","",IFERROR(INDEX(Produtos!$D$4:$D$103,MATCH($C94,Produtos!$A$4:$A$103,0)),""))</f>
        <v/>
      </c>
      <c r="O94" s="27">
        <f>IF($C94="","",IFERROR(INDEX(Produtos!$E$4:$E$103,MATCH($C94,Produtos!$A$4:$A$103,0)),""))</f>
        <v/>
      </c>
      <c r="P94" s="19">
        <f>IF($C94="","",IFERROR(INDEX(Produtos!$G$4:$G$103,MATCH($C94,Produtos!$A$4:$A$103,0)),""))</f>
        <v/>
      </c>
      <c r="Q94" s="19">
        <f>IF($C94="","",IFERROR(INDEX(Produtos!$H$4:$H$103,MATCH($C94,Produtos!$A$4:$A$103,0)),""))</f>
        <v/>
      </c>
      <c r="R94" s="19">
        <f>IF($C94="","",IFERROR(INDEX(Produtos!$I$4:$I$103,MATCH($C94,Produtos!$A$4:$A$103,0)),""))</f>
        <v/>
      </c>
      <c r="S94" s="28">
        <f>IF($C94="","",IFERROR(INDEX(Produtos!$J$4:$J$103,MATCH($C94,Produtos!$A$4:$A$103,0)),""))</f>
        <v/>
      </c>
      <c r="T94" s="27">
        <f>IF($AG94&lt;&gt;"Pronta","",IFERROR(IF($F94&lt;=INDEX(Regras!$C$4:$C$103,MATCH($D94,Regras!$A$4:$A$103,0)),INDEX(Regras!$E$4:$E$103,MATCH($D94,Regras!$A$4:$A$103,0)),IF($F94&gt;=INDEX(Regras!$D$4:$D$103,MATCH($D94,Regras!$A$4:$A$103,0)),INDEX(Regras!$F$4:$F$103,MATCH($D94,Regras!$A$4:$A$103,0)),0)),""))</f>
        <v/>
      </c>
      <c r="U94" s="27">
        <f>IF($AG94&lt;&gt;"Pronta","",IFERROR(IF($G94="",0,IF($G94&lt;=$E94*(1-INDEX(Regras!$G$4:$G$103,MATCH($D94,Regras!$A$4:$A$103,0))),INDEX(Regras!$H$4:$H$103,MATCH($D94,Regras!$A$4:$A$103,0)),IF($G94&gt;=$E94*(1+INDEX(Regras!$G$4:$G$103,MATCH($D94,Regras!$A$4:$A$103,0))),INDEX(Regras!$I$4:$I$103,MATCH($D94,Regras!$A$4:$A$103,0)),0))),""))</f>
        <v/>
      </c>
      <c r="V94" s="27">
        <f>IF($AG94&lt;&gt;"Pronta","",IFERROR(IF($H94/$S94&lt;=INDEX(Regras!$J$4:$J$103,MATCH($D94,Regras!$A$4:$A$103,0)),INDEX(Regras!$L$4:$L$103,MATCH($D94,Regras!$A$4:$A$103,0)),IF($H94/$S94&gt;=INDEX(Regras!$K$4:$K$103,MATCH($D94,Regras!$A$4:$A$103,0)),INDEX(Regras!$M$4:$M$103,MATCH($D94,Regras!$A$4:$A$103,0)),0)),""))</f>
        <v/>
      </c>
      <c r="W94" s="27">
        <f>IF($AG94&lt;&gt;"Pronta","",SUM($T94:$V94))</f>
        <v/>
      </c>
      <c r="X94" s="27">
        <f>IF($AG94&lt;&gt;"Pronta","",IFERROR(MAX(-INDEX(Regras!$N$4:$N$103,MATCH($D94,Regras!$A$4:$A$103,0)),MIN(INDEX(Regras!$N$4:$N$103,MATCH($D94,Regras!$A$4:$A$103,0)),$W94)),""))</f>
        <v/>
      </c>
      <c r="Y94" s="19">
        <f>IF($AG94&lt;&gt;"Pronta","",IFERROR(ROUND($E94*(1+$X94),2),""))</f>
        <v/>
      </c>
      <c r="Z94" s="29">
        <f>IF(OR($AG94&lt;&gt;"Pronta",$Q94="",$R94=""),"",IFERROR(ROUND(MIN($R94,MAX($Q94,$Y94)),2),""))</f>
        <v/>
      </c>
      <c r="AA94" s="27">
        <f>IF(OR($E94="",$Z94=""),"",IFERROR($Z94/$E94-1,""))</f>
        <v/>
      </c>
      <c r="AB94" s="26">
        <f>IF($Z94="","",IF($Y94&lt;$Q94,"Piso",IF($Y94&gt;$R94,"Teto","Nenhuma")))</f>
        <v/>
      </c>
      <c r="AC94" s="21">
        <f>IF($A94="","",IF($AG94&lt;&gt;"Pronta","Aguardando dados válidos",_xlfn.TEXTJOIN(" | ",TRUE,IF($T94&gt;0,"Demanda: aumento",IF($T94&lt;0,"Demanda: redução","")),IF($U94&gt;0,"Concorrência: aumento",IF($U94&lt;0,"Concorrência: redução","")),IF($V94&gt;0,"Estoque: aumento",IF($V94&lt;0,"Estoque: redução","")),IF(ABS($W94-$X94)&gt;0.0000001,"Limite da rodada aplicado",""),IF($AB94="Piso","Piso vigente aplicado",IF($AB94="Teto","Teto aplicado","")),IF(AND($T94=0,$U94=0,$V94=0),"Sem gatilho de reajuste",""))))</f>
        <v/>
      </c>
      <c r="AD94" s="21">
        <f>IF(OR($A94="",$AG94&lt;&gt;"Pronta"),"",_xlfn.TEXTJOIN(" | ",TRUE,IF($E94&lt;$Q94,"Preço atual abaixo do piso",""),IF($E94&gt;$R94,"Preço atual acima do teto",""),IF(AND($N94&gt;0,$E94&gt;0,1-$N94/$E94&lt;$O94),"Margem estimada do preço atual abaixo do mínimo",""),IF($G94="","Preço concorrente não informado",""),IF($AB94="Piso","Recomendação travada no piso",""),IF($AB94="Teto","Recomendação travada no teto","")))</f>
        <v/>
      </c>
      <c r="AE94" s="19">
        <f>IF($AG94&lt;&gt;"Pronta","",IF($I94="Aprovar recomendação",$Z94,IF($I94="Manter preço atual",$E94,IF($I94="Definir manualmente",$J94,""))))</f>
        <v/>
      </c>
      <c r="AF94" s="21">
        <f>IF($A94="","",IF($AG94&lt;&gt;"Pronta","Aguardando correção",IF(OR($I94="",$I94="Pendente"),"Decisão pendente",IF(AND($I94="Definir manualmente",OR($J94="",$J94&lt;=0)),"Informe o preço manual",IF(OR($AE94&lt;$Q94,$AE94&gt;$R94),"Preço final fora do piso/teto","OK")))))</f>
        <v/>
      </c>
      <c r="AG94" s="26">
        <f>IF(COUNTA($A94:$K94)=0,"",IF(OR($A94="",$B94="",$C94="",$D94="",$E94="",$F94="",$H94=""),"Incompleta",IF(OR(COUNTIF($A$5:$A$204,$A94)&gt;1,NOT(ISNUMBER($B94)),COUNTIF(Produtos!$A$4:$A$103,$C94)&lt;&gt;1,IFERROR(INDEX(Produtos!$K$4:$K$103,MATCH($C94,Produtos!$A$4:$A$103,0))&lt;&gt;"Ativo",TRUE),IFERROR(INDEX(Produtos!$L$4:$L$103,MATCH($C94,Produtos!$A$4:$A$103,0))&lt;&gt;"OK",TRUE),COUNTIF(Regras!$A$4:$A$103,$D94)&lt;&gt;1,IFERROR(INDEX(Regras!$O$4:$O$103,MATCH($D94,Regras!$A$4:$A$103,0))&lt;&gt;"Sim",TRUE),IFERROR(INDEX(Regras!$P$4:$P$103,MATCH($D94,Regras!$A$4:$A$103,0))&lt;&gt;"OK",TRUE),NOT(ISNUMBER($E94)),$E94&lt;=0,NOT(ISNUMBER($F94)),$F94&lt;0,$F94&gt;5,NOT(ISNUMBER($H94)),$H94&lt;0,$H94&lt;&gt;INT($H94),AND($G94&lt;&gt;"",OR(NOT(ISNUMBER($G94)),$G94&lt;=0))),"Revisar","Pronta")))</f>
        <v/>
      </c>
    </row>
    <row r="95">
      <c r="A95" s="16" t="n"/>
      <c r="B95" s="24" t="n"/>
      <c r="C95" s="16" t="n"/>
      <c r="D95" s="16" t="n"/>
      <c r="E95" s="17" t="n"/>
      <c r="F95" s="18" t="n"/>
      <c r="G95" s="17" t="n"/>
      <c r="H95" s="20" t="n"/>
      <c r="I95" s="16" t="n"/>
      <c r="J95" s="17" t="n"/>
      <c r="K95" s="25" t="n"/>
      <c r="L95" s="26">
        <f>IF($C95="","",IFERROR(INDEX(Produtos!$B$4:$B$103,MATCH($C95,Produtos!$A$4:$A$103,0)),""))</f>
        <v/>
      </c>
      <c r="M95" s="26">
        <f>IF($C95="","",IFERROR(INDEX(Produtos!$C$4:$C$103,MATCH($C95,Produtos!$A$4:$A$103,0)),""))</f>
        <v/>
      </c>
      <c r="N95" s="19">
        <f>IF($C95="","",IFERROR(INDEX(Produtos!$D$4:$D$103,MATCH($C95,Produtos!$A$4:$A$103,0)),""))</f>
        <v/>
      </c>
      <c r="O95" s="27">
        <f>IF($C95="","",IFERROR(INDEX(Produtos!$E$4:$E$103,MATCH($C95,Produtos!$A$4:$A$103,0)),""))</f>
        <v/>
      </c>
      <c r="P95" s="19">
        <f>IF($C95="","",IFERROR(INDEX(Produtos!$G$4:$G$103,MATCH($C95,Produtos!$A$4:$A$103,0)),""))</f>
        <v/>
      </c>
      <c r="Q95" s="19">
        <f>IF($C95="","",IFERROR(INDEX(Produtos!$H$4:$H$103,MATCH($C95,Produtos!$A$4:$A$103,0)),""))</f>
        <v/>
      </c>
      <c r="R95" s="19">
        <f>IF($C95="","",IFERROR(INDEX(Produtos!$I$4:$I$103,MATCH($C95,Produtos!$A$4:$A$103,0)),""))</f>
        <v/>
      </c>
      <c r="S95" s="28">
        <f>IF($C95="","",IFERROR(INDEX(Produtos!$J$4:$J$103,MATCH($C95,Produtos!$A$4:$A$103,0)),""))</f>
        <v/>
      </c>
      <c r="T95" s="27">
        <f>IF($AG95&lt;&gt;"Pronta","",IFERROR(IF($F95&lt;=INDEX(Regras!$C$4:$C$103,MATCH($D95,Regras!$A$4:$A$103,0)),INDEX(Regras!$E$4:$E$103,MATCH($D95,Regras!$A$4:$A$103,0)),IF($F95&gt;=INDEX(Regras!$D$4:$D$103,MATCH($D95,Regras!$A$4:$A$103,0)),INDEX(Regras!$F$4:$F$103,MATCH($D95,Regras!$A$4:$A$103,0)),0)),""))</f>
        <v/>
      </c>
      <c r="U95" s="27">
        <f>IF($AG95&lt;&gt;"Pronta","",IFERROR(IF($G95="",0,IF($G95&lt;=$E95*(1-INDEX(Regras!$G$4:$G$103,MATCH($D95,Regras!$A$4:$A$103,0))),INDEX(Regras!$H$4:$H$103,MATCH($D95,Regras!$A$4:$A$103,0)),IF($G95&gt;=$E95*(1+INDEX(Regras!$G$4:$G$103,MATCH($D95,Regras!$A$4:$A$103,0))),INDEX(Regras!$I$4:$I$103,MATCH($D95,Regras!$A$4:$A$103,0)),0))),""))</f>
        <v/>
      </c>
      <c r="V95" s="27">
        <f>IF($AG95&lt;&gt;"Pronta","",IFERROR(IF($H95/$S95&lt;=INDEX(Regras!$J$4:$J$103,MATCH($D95,Regras!$A$4:$A$103,0)),INDEX(Regras!$L$4:$L$103,MATCH($D95,Regras!$A$4:$A$103,0)),IF($H95/$S95&gt;=INDEX(Regras!$K$4:$K$103,MATCH($D95,Regras!$A$4:$A$103,0)),INDEX(Regras!$M$4:$M$103,MATCH($D95,Regras!$A$4:$A$103,0)),0)),""))</f>
        <v/>
      </c>
      <c r="W95" s="27">
        <f>IF($AG95&lt;&gt;"Pronta","",SUM($T95:$V95))</f>
        <v/>
      </c>
      <c r="X95" s="27">
        <f>IF($AG95&lt;&gt;"Pronta","",IFERROR(MAX(-INDEX(Regras!$N$4:$N$103,MATCH($D95,Regras!$A$4:$A$103,0)),MIN(INDEX(Regras!$N$4:$N$103,MATCH($D95,Regras!$A$4:$A$103,0)),$W95)),""))</f>
        <v/>
      </c>
      <c r="Y95" s="19">
        <f>IF($AG95&lt;&gt;"Pronta","",IFERROR(ROUND($E95*(1+$X95),2),""))</f>
        <v/>
      </c>
      <c r="Z95" s="29">
        <f>IF(OR($AG95&lt;&gt;"Pronta",$Q95="",$R95=""),"",IFERROR(ROUND(MIN($R95,MAX($Q95,$Y95)),2),""))</f>
        <v/>
      </c>
      <c r="AA95" s="27">
        <f>IF(OR($E95="",$Z95=""),"",IFERROR($Z95/$E95-1,""))</f>
        <v/>
      </c>
      <c r="AB95" s="26">
        <f>IF($Z95="","",IF($Y95&lt;$Q95,"Piso",IF($Y95&gt;$R95,"Teto","Nenhuma")))</f>
        <v/>
      </c>
      <c r="AC95" s="21">
        <f>IF($A95="","",IF($AG95&lt;&gt;"Pronta","Aguardando dados válidos",_xlfn.TEXTJOIN(" | ",TRUE,IF($T95&gt;0,"Demanda: aumento",IF($T95&lt;0,"Demanda: redução","")),IF($U95&gt;0,"Concorrência: aumento",IF($U95&lt;0,"Concorrência: redução","")),IF($V95&gt;0,"Estoque: aumento",IF($V95&lt;0,"Estoque: redução","")),IF(ABS($W95-$X95)&gt;0.0000001,"Limite da rodada aplicado",""),IF($AB95="Piso","Piso vigente aplicado",IF($AB95="Teto","Teto aplicado","")),IF(AND($T95=0,$U95=0,$V95=0),"Sem gatilho de reajuste",""))))</f>
        <v/>
      </c>
      <c r="AD95" s="21">
        <f>IF(OR($A95="",$AG95&lt;&gt;"Pronta"),"",_xlfn.TEXTJOIN(" | ",TRUE,IF($E95&lt;$Q95,"Preço atual abaixo do piso",""),IF($E95&gt;$R95,"Preço atual acima do teto",""),IF(AND($N95&gt;0,$E95&gt;0,1-$N95/$E95&lt;$O95),"Margem estimada do preço atual abaixo do mínimo",""),IF($G95="","Preço concorrente não informado",""),IF($AB95="Piso","Recomendação travada no piso",""),IF($AB95="Teto","Recomendação travada no teto","")))</f>
        <v/>
      </c>
      <c r="AE95" s="19">
        <f>IF($AG95&lt;&gt;"Pronta","",IF($I95="Aprovar recomendação",$Z95,IF($I95="Manter preço atual",$E95,IF($I95="Definir manualmente",$J95,""))))</f>
        <v/>
      </c>
      <c r="AF95" s="21">
        <f>IF($A95="","",IF($AG95&lt;&gt;"Pronta","Aguardando correção",IF(OR($I95="",$I95="Pendente"),"Decisão pendente",IF(AND($I95="Definir manualmente",OR($J95="",$J95&lt;=0)),"Informe o preço manual",IF(OR($AE95&lt;$Q95,$AE95&gt;$R95),"Preço final fora do piso/teto","OK")))))</f>
        <v/>
      </c>
      <c r="AG95" s="26">
        <f>IF(COUNTA($A95:$K95)=0,"",IF(OR($A95="",$B95="",$C95="",$D95="",$E95="",$F95="",$H95=""),"Incompleta",IF(OR(COUNTIF($A$5:$A$204,$A95)&gt;1,NOT(ISNUMBER($B95)),COUNTIF(Produtos!$A$4:$A$103,$C95)&lt;&gt;1,IFERROR(INDEX(Produtos!$K$4:$K$103,MATCH($C95,Produtos!$A$4:$A$103,0))&lt;&gt;"Ativo",TRUE),IFERROR(INDEX(Produtos!$L$4:$L$103,MATCH($C95,Produtos!$A$4:$A$103,0))&lt;&gt;"OK",TRUE),COUNTIF(Regras!$A$4:$A$103,$D95)&lt;&gt;1,IFERROR(INDEX(Regras!$O$4:$O$103,MATCH($D95,Regras!$A$4:$A$103,0))&lt;&gt;"Sim",TRUE),IFERROR(INDEX(Regras!$P$4:$P$103,MATCH($D95,Regras!$A$4:$A$103,0))&lt;&gt;"OK",TRUE),NOT(ISNUMBER($E95)),$E95&lt;=0,NOT(ISNUMBER($F95)),$F95&lt;0,$F95&gt;5,NOT(ISNUMBER($H95)),$H95&lt;0,$H95&lt;&gt;INT($H95),AND($G95&lt;&gt;"",OR(NOT(ISNUMBER($G95)),$G95&lt;=0))),"Revisar","Pronta")))</f>
        <v/>
      </c>
    </row>
    <row r="96">
      <c r="A96" s="16" t="n"/>
      <c r="B96" s="24" t="n"/>
      <c r="C96" s="16" t="n"/>
      <c r="D96" s="16" t="n"/>
      <c r="E96" s="17" t="n"/>
      <c r="F96" s="18" t="n"/>
      <c r="G96" s="17" t="n"/>
      <c r="H96" s="20" t="n"/>
      <c r="I96" s="16" t="n"/>
      <c r="J96" s="17" t="n"/>
      <c r="K96" s="25" t="n"/>
      <c r="L96" s="26">
        <f>IF($C96="","",IFERROR(INDEX(Produtos!$B$4:$B$103,MATCH($C96,Produtos!$A$4:$A$103,0)),""))</f>
        <v/>
      </c>
      <c r="M96" s="26">
        <f>IF($C96="","",IFERROR(INDEX(Produtos!$C$4:$C$103,MATCH($C96,Produtos!$A$4:$A$103,0)),""))</f>
        <v/>
      </c>
      <c r="N96" s="19">
        <f>IF($C96="","",IFERROR(INDEX(Produtos!$D$4:$D$103,MATCH($C96,Produtos!$A$4:$A$103,0)),""))</f>
        <v/>
      </c>
      <c r="O96" s="27">
        <f>IF($C96="","",IFERROR(INDEX(Produtos!$E$4:$E$103,MATCH($C96,Produtos!$A$4:$A$103,0)),""))</f>
        <v/>
      </c>
      <c r="P96" s="19">
        <f>IF($C96="","",IFERROR(INDEX(Produtos!$G$4:$G$103,MATCH($C96,Produtos!$A$4:$A$103,0)),""))</f>
        <v/>
      </c>
      <c r="Q96" s="19">
        <f>IF($C96="","",IFERROR(INDEX(Produtos!$H$4:$H$103,MATCH($C96,Produtos!$A$4:$A$103,0)),""))</f>
        <v/>
      </c>
      <c r="R96" s="19">
        <f>IF($C96="","",IFERROR(INDEX(Produtos!$I$4:$I$103,MATCH($C96,Produtos!$A$4:$A$103,0)),""))</f>
        <v/>
      </c>
      <c r="S96" s="28">
        <f>IF($C96="","",IFERROR(INDEX(Produtos!$J$4:$J$103,MATCH($C96,Produtos!$A$4:$A$103,0)),""))</f>
        <v/>
      </c>
      <c r="T96" s="27">
        <f>IF($AG96&lt;&gt;"Pronta","",IFERROR(IF($F96&lt;=INDEX(Regras!$C$4:$C$103,MATCH($D96,Regras!$A$4:$A$103,0)),INDEX(Regras!$E$4:$E$103,MATCH($D96,Regras!$A$4:$A$103,0)),IF($F96&gt;=INDEX(Regras!$D$4:$D$103,MATCH($D96,Regras!$A$4:$A$103,0)),INDEX(Regras!$F$4:$F$103,MATCH($D96,Regras!$A$4:$A$103,0)),0)),""))</f>
        <v/>
      </c>
      <c r="U96" s="27">
        <f>IF($AG96&lt;&gt;"Pronta","",IFERROR(IF($G96="",0,IF($G96&lt;=$E96*(1-INDEX(Regras!$G$4:$G$103,MATCH($D96,Regras!$A$4:$A$103,0))),INDEX(Regras!$H$4:$H$103,MATCH($D96,Regras!$A$4:$A$103,0)),IF($G96&gt;=$E96*(1+INDEX(Regras!$G$4:$G$103,MATCH($D96,Regras!$A$4:$A$103,0))),INDEX(Regras!$I$4:$I$103,MATCH($D96,Regras!$A$4:$A$103,0)),0))),""))</f>
        <v/>
      </c>
      <c r="V96" s="27">
        <f>IF($AG96&lt;&gt;"Pronta","",IFERROR(IF($H96/$S96&lt;=INDEX(Regras!$J$4:$J$103,MATCH($D96,Regras!$A$4:$A$103,0)),INDEX(Regras!$L$4:$L$103,MATCH($D96,Regras!$A$4:$A$103,0)),IF($H96/$S96&gt;=INDEX(Regras!$K$4:$K$103,MATCH($D96,Regras!$A$4:$A$103,0)),INDEX(Regras!$M$4:$M$103,MATCH($D96,Regras!$A$4:$A$103,0)),0)),""))</f>
        <v/>
      </c>
      <c r="W96" s="27">
        <f>IF($AG96&lt;&gt;"Pronta","",SUM($T96:$V96))</f>
        <v/>
      </c>
      <c r="X96" s="27">
        <f>IF($AG96&lt;&gt;"Pronta","",IFERROR(MAX(-INDEX(Regras!$N$4:$N$103,MATCH($D96,Regras!$A$4:$A$103,0)),MIN(INDEX(Regras!$N$4:$N$103,MATCH($D96,Regras!$A$4:$A$103,0)),$W96)),""))</f>
        <v/>
      </c>
      <c r="Y96" s="19">
        <f>IF($AG96&lt;&gt;"Pronta","",IFERROR(ROUND($E96*(1+$X96),2),""))</f>
        <v/>
      </c>
      <c r="Z96" s="29">
        <f>IF(OR($AG96&lt;&gt;"Pronta",$Q96="",$R96=""),"",IFERROR(ROUND(MIN($R96,MAX($Q96,$Y96)),2),""))</f>
        <v/>
      </c>
      <c r="AA96" s="27">
        <f>IF(OR($E96="",$Z96=""),"",IFERROR($Z96/$E96-1,""))</f>
        <v/>
      </c>
      <c r="AB96" s="26">
        <f>IF($Z96="","",IF($Y96&lt;$Q96,"Piso",IF($Y96&gt;$R96,"Teto","Nenhuma")))</f>
        <v/>
      </c>
      <c r="AC96" s="21">
        <f>IF($A96="","",IF($AG96&lt;&gt;"Pronta","Aguardando dados válidos",_xlfn.TEXTJOIN(" | ",TRUE,IF($T96&gt;0,"Demanda: aumento",IF($T96&lt;0,"Demanda: redução","")),IF($U96&gt;0,"Concorrência: aumento",IF($U96&lt;0,"Concorrência: redução","")),IF($V96&gt;0,"Estoque: aumento",IF($V96&lt;0,"Estoque: redução","")),IF(ABS($W96-$X96)&gt;0.0000001,"Limite da rodada aplicado",""),IF($AB96="Piso","Piso vigente aplicado",IF($AB96="Teto","Teto aplicado","")),IF(AND($T96=0,$U96=0,$V96=0),"Sem gatilho de reajuste",""))))</f>
        <v/>
      </c>
      <c r="AD96" s="21">
        <f>IF(OR($A96="",$AG96&lt;&gt;"Pronta"),"",_xlfn.TEXTJOIN(" | ",TRUE,IF($E96&lt;$Q96,"Preço atual abaixo do piso",""),IF($E96&gt;$R96,"Preço atual acima do teto",""),IF(AND($N96&gt;0,$E96&gt;0,1-$N96/$E96&lt;$O96),"Margem estimada do preço atual abaixo do mínimo",""),IF($G96="","Preço concorrente não informado",""),IF($AB96="Piso","Recomendação travada no piso",""),IF($AB96="Teto","Recomendação travada no teto","")))</f>
        <v/>
      </c>
      <c r="AE96" s="19">
        <f>IF($AG96&lt;&gt;"Pronta","",IF($I96="Aprovar recomendação",$Z96,IF($I96="Manter preço atual",$E96,IF($I96="Definir manualmente",$J96,""))))</f>
        <v/>
      </c>
      <c r="AF96" s="21">
        <f>IF($A96="","",IF($AG96&lt;&gt;"Pronta","Aguardando correção",IF(OR($I96="",$I96="Pendente"),"Decisão pendente",IF(AND($I96="Definir manualmente",OR($J96="",$J96&lt;=0)),"Informe o preço manual",IF(OR($AE96&lt;$Q96,$AE96&gt;$R96),"Preço final fora do piso/teto","OK")))))</f>
        <v/>
      </c>
      <c r="AG96" s="26">
        <f>IF(COUNTA($A96:$K96)=0,"",IF(OR($A96="",$B96="",$C96="",$D96="",$E96="",$F96="",$H96=""),"Incompleta",IF(OR(COUNTIF($A$5:$A$204,$A96)&gt;1,NOT(ISNUMBER($B96)),COUNTIF(Produtos!$A$4:$A$103,$C96)&lt;&gt;1,IFERROR(INDEX(Produtos!$K$4:$K$103,MATCH($C96,Produtos!$A$4:$A$103,0))&lt;&gt;"Ativo",TRUE),IFERROR(INDEX(Produtos!$L$4:$L$103,MATCH($C96,Produtos!$A$4:$A$103,0))&lt;&gt;"OK",TRUE),COUNTIF(Regras!$A$4:$A$103,$D96)&lt;&gt;1,IFERROR(INDEX(Regras!$O$4:$O$103,MATCH($D96,Regras!$A$4:$A$103,0))&lt;&gt;"Sim",TRUE),IFERROR(INDEX(Regras!$P$4:$P$103,MATCH($D96,Regras!$A$4:$A$103,0))&lt;&gt;"OK",TRUE),NOT(ISNUMBER($E96)),$E96&lt;=0,NOT(ISNUMBER($F96)),$F96&lt;0,$F96&gt;5,NOT(ISNUMBER($H96)),$H96&lt;0,$H96&lt;&gt;INT($H96),AND($G96&lt;&gt;"",OR(NOT(ISNUMBER($G96)),$G96&lt;=0))),"Revisar","Pronta")))</f>
        <v/>
      </c>
    </row>
    <row r="97">
      <c r="A97" s="16" t="n"/>
      <c r="B97" s="24" t="n"/>
      <c r="C97" s="16" t="n"/>
      <c r="D97" s="16" t="n"/>
      <c r="E97" s="17" t="n"/>
      <c r="F97" s="18" t="n"/>
      <c r="G97" s="17" t="n"/>
      <c r="H97" s="20" t="n"/>
      <c r="I97" s="16" t="n"/>
      <c r="J97" s="17" t="n"/>
      <c r="K97" s="25" t="n"/>
      <c r="L97" s="26">
        <f>IF($C97="","",IFERROR(INDEX(Produtos!$B$4:$B$103,MATCH($C97,Produtos!$A$4:$A$103,0)),""))</f>
        <v/>
      </c>
      <c r="M97" s="26">
        <f>IF($C97="","",IFERROR(INDEX(Produtos!$C$4:$C$103,MATCH($C97,Produtos!$A$4:$A$103,0)),""))</f>
        <v/>
      </c>
      <c r="N97" s="19">
        <f>IF($C97="","",IFERROR(INDEX(Produtos!$D$4:$D$103,MATCH($C97,Produtos!$A$4:$A$103,0)),""))</f>
        <v/>
      </c>
      <c r="O97" s="27">
        <f>IF($C97="","",IFERROR(INDEX(Produtos!$E$4:$E$103,MATCH($C97,Produtos!$A$4:$A$103,0)),""))</f>
        <v/>
      </c>
      <c r="P97" s="19">
        <f>IF($C97="","",IFERROR(INDEX(Produtos!$G$4:$G$103,MATCH($C97,Produtos!$A$4:$A$103,0)),""))</f>
        <v/>
      </c>
      <c r="Q97" s="19">
        <f>IF($C97="","",IFERROR(INDEX(Produtos!$H$4:$H$103,MATCH($C97,Produtos!$A$4:$A$103,0)),""))</f>
        <v/>
      </c>
      <c r="R97" s="19">
        <f>IF($C97="","",IFERROR(INDEX(Produtos!$I$4:$I$103,MATCH($C97,Produtos!$A$4:$A$103,0)),""))</f>
        <v/>
      </c>
      <c r="S97" s="28">
        <f>IF($C97="","",IFERROR(INDEX(Produtos!$J$4:$J$103,MATCH($C97,Produtos!$A$4:$A$103,0)),""))</f>
        <v/>
      </c>
      <c r="T97" s="27">
        <f>IF($AG97&lt;&gt;"Pronta","",IFERROR(IF($F97&lt;=INDEX(Regras!$C$4:$C$103,MATCH($D97,Regras!$A$4:$A$103,0)),INDEX(Regras!$E$4:$E$103,MATCH($D97,Regras!$A$4:$A$103,0)),IF($F97&gt;=INDEX(Regras!$D$4:$D$103,MATCH($D97,Regras!$A$4:$A$103,0)),INDEX(Regras!$F$4:$F$103,MATCH($D97,Regras!$A$4:$A$103,0)),0)),""))</f>
        <v/>
      </c>
      <c r="U97" s="27">
        <f>IF($AG97&lt;&gt;"Pronta","",IFERROR(IF($G97="",0,IF($G97&lt;=$E97*(1-INDEX(Regras!$G$4:$G$103,MATCH($D97,Regras!$A$4:$A$103,0))),INDEX(Regras!$H$4:$H$103,MATCH($D97,Regras!$A$4:$A$103,0)),IF($G97&gt;=$E97*(1+INDEX(Regras!$G$4:$G$103,MATCH($D97,Regras!$A$4:$A$103,0))),INDEX(Regras!$I$4:$I$103,MATCH($D97,Regras!$A$4:$A$103,0)),0))),""))</f>
        <v/>
      </c>
      <c r="V97" s="27">
        <f>IF($AG97&lt;&gt;"Pronta","",IFERROR(IF($H97/$S97&lt;=INDEX(Regras!$J$4:$J$103,MATCH($D97,Regras!$A$4:$A$103,0)),INDEX(Regras!$L$4:$L$103,MATCH($D97,Regras!$A$4:$A$103,0)),IF($H97/$S97&gt;=INDEX(Regras!$K$4:$K$103,MATCH($D97,Regras!$A$4:$A$103,0)),INDEX(Regras!$M$4:$M$103,MATCH($D97,Regras!$A$4:$A$103,0)),0)),""))</f>
        <v/>
      </c>
      <c r="W97" s="27">
        <f>IF($AG97&lt;&gt;"Pronta","",SUM($T97:$V97))</f>
        <v/>
      </c>
      <c r="X97" s="27">
        <f>IF($AG97&lt;&gt;"Pronta","",IFERROR(MAX(-INDEX(Regras!$N$4:$N$103,MATCH($D97,Regras!$A$4:$A$103,0)),MIN(INDEX(Regras!$N$4:$N$103,MATCH($D97,Regras!$A$4:$A$103,0)),$W97)),""))</f>
        <v/>
      </c>
      <c r="Y97" s="19">
        <f>IF($AG97&lt;&gt;"Pronta","",IFERROR(ROUND($E97*(1+$X97),2),""))</f>
        <v/>
      </c>
      <c r="Z97" s="29">
        <f>IF(OR($AG97&lt;&gt;"Pronta",$Q97="",$R97=""),"",IFERROR(ROUND(MIN($R97,MAX($Q97,$Y97)),2),""))</f>
        <v/>
      </c>
      <c r="AA97" s="27">
        <f>IF(OR($E97="",$Z97=""),"",IFERROR($Z97/$E97-1,""))</f>
        <v/>
      </c>
      <c r="AB97" s="26">
        <f>IF($Z97="","",IF($Y97&lt;$Q97,"Piso",IF($Y97&gt;$R97,"Teto","Nenhuma")))</f>
        <v/>
      </c>
      <c r="AC97" s="21">
        <f>IF($A97="","",IF($AG97&lt;&gt;"Pronta","Aguardando dados válidos",_xlfn.TEXTJOIN(" | ",TRUE,IF($T97&gt;0,"Demanda: aumento",IF($T97&lt;0,"Demanda: redução","")),IF($U97&gt;0,"Concorrência: aumento",IF($U97&lt;0,"Concorrência: redução","")),IF($V97&gt;0,"Estoque: aumento",IF($V97&lt;0,"Estoque: redução","")),IF(ABS($W97-$X97)&gt;0.0000001,"Limite da rodada aplicado",""),IF($AB97="Piso","Piso vigente aplicado",IF($AB97="Teto","Teto aplicado","")),IF(AND($T97=0,$U97=0,$V97=0),"Sem gatilho de reajuste",""))))</f>
        <v/>
      </c>
      <c r="AD97" s="21">
        <f>IF(OR($A97="",$AG97&lt;&gt;"Pronta"),"",_xlfn.TEXTJOIN(" | ",TRUE,IF($E97&lt;$Q97,"Preço atual abaixo do piso",""),IF($E97&gt;$R97,"Preço atual acima do teto",""),IF(AND($N97&gt;0,$E97&gt;0,1-$N97/$E97&lt;$O97),"Margem estimada do preço atual abaixo do mínimo",""),IF($G97="","Preço concorrente não informado",""),IF($AB97="Piso","Recomendação travada no piso",""),IF($AB97="Teto","Recomendação travada no teto","")))</f>
        <v/>
      </c>
      <c r="AE97" s="19">
        <f>IF($AG97&lt;&gt;"Pronta","",IF($I97="Aprovar recomendação",$Z97,IF($I97="Manter preço atual",$E97,IF($I97="Definir manualmente",$J97,""))))</f>
        <v/>
      </c>
      <c r="AF97" s="21">
        <f>IF($A97="","",IF($AG97&lt;&gt;"Pronta","Aguardando correção",IF(OR($I97="",$I97="Pendente"),"Decisão pendente",IF(AND($I97="Definir manualmente",OR($J97="",$J97&lt;=0)),"Informe o preço manual",IF(OR($AE97&lt;$Q97,$AE97&gt;$R97),"Preço final fora do piso/teto","OK")))))</f>
        <v/>
      </c>
      <c r="AG97" s="26">
        <f>IF(COUNTA($A97:$K97)=0,"",IF(OR($A97="",$B97="",$C97="",$D97="",$E97="",$F97="",$H97=""),"Incompleta",IF(OR(COUNTIF($A$5:$A$204,$A97)&gt;1,NOT(ISNUMBER($B97)),COUNTIF(Produtos!$A$4:$A$103,$C97)&lt;&gt;1,IFERROR(INDEX(Produtos!$K$4:$K$103,MATCH($C97,Produtos!$A$4:$A$103,0))&lt;&gt;"Ativo",TRUE),IFERROR(INDEX(Produtos!$L$4:$L$103,MATCH($C97,Produtos!$A$4:$A$103,0))&lt;&gt;"OK",TRUE),COUNTIF(Regras!$A$4:$A$103,$D97)&lt;&gt;1,IFERROR(INDEX(Regras!$O$4:$O$103,MATCH($D97,Regras!$A$4:$A$103,0))&lt;&gt;"Sim",TRUE),IFERROR(INDEX(Regras!$P$4:$P$103,MATCH($D97,Regras!$A$4:$A$103,0))&lt;&gt;"OK",TRUE),NOT(ISNUMBER($E97)),$E97&lt;=0,NOT(ISNUMBER($F97)),$F97&lt;0,$F97&gt;5,NOT(ISNUMBER($H97)),$H97&lt;0,$H97&lt;&gt;INT($H97),AND($G97&lt;&gt;"",OR(NOT(ISNUMBER($G97)),$G97&lt;=0))),"Revisar","Pronta")))</f>
        <v/>
      </c>
    </row>
    <row r="98">
      <c r="A98" s="16" t="n"/>
      <c r="B98" s="24" t="n"/>
      <c r="C98" s="16" t="n"/>
      <c r="D98" s="16" t="n"/>
      <c r="E98" s="17" t="n"/>
      <c r="F98" s="18" t="n"/>
      <c r="G98" s="17" t="n"/>
      <c r="H98" s="20" t="n"/>
      <c r="I98" s="16" t="n"/>
      <c r="J98" s="17" t="n"/>
      <c r="K98" s="25" t="n"/>
      <c r="L98" s="26">
        <f>IF($C98="","",IFERROR(INDEX(Produtos!$B$4:$B$103,MATCH($C98,Produtos!$A$4:$A$103,0)),""))</f>
        <v/>
      </c>
      <c r="M98" s="26">
        <f>IF($C98="","",IFERROR(INDEX(Produtos!$C$4:$C$103,MATCH($C98,Produtos!$A$4:$A$103,0)),""))</f>
        <v/>
      </c>
      <c r="N98" s="19">
        <f>IF($C98="","",IFERROR(INDEX(Produtos!$D$4:$D$103,MATCH($C98,Produtos!$A$4:$A$103,0)),""))</f>
        <v/>
      </c>
      <c r="O98" s="27">
        <f>IF($C98="","",IFERROR(INDEX(Produtos!$E$4:$E$103,MATCH($C98,Produtos!$A$4:$A$103,0)),""))</f>
        <v/>
      </c>
      <c r="P98" s="19">
        <f>IF($C98="","",IFERROR(INDEX(Produtos!$G$4:$G$103,MATCH($C98,Produtos!$A$4:$A$103,0)),""))</f>
        <v/>
      </c>
      <c r="Q98" s="19">
        <f>IF($C98="","",IFERROR(INDEX(Produtos!$H$4:$H$103,MATCH($C98,Produtos!$A$4:$A$103,0)),""))</f>
        <v/>
      </c>
      <c r="R98" s="19">
        <f>IF($C98="","",IFERROR(INDEX(Produtos!$I$4:$I$103,MATCH($C98,Produtos!$A$4:$A$103,0)),""))</f>
        <v/>
      </c>
      <c r="S98" s="28">
        <f>IF($C98="","",IFERROR(INDEX(Produtos!$J$4:$J$103,MATCH($C98,Produtos!$A$4:$A$103,0)),""))</f>
        <v/>
      </c>
      <c r="T98" s="27">
        <f>IF($AG98&lt;&gt;"Pronta","",IFERROR(IF($F98&lt;=INDEX(Regras!$C$4:$C$103,MATCH($D98,Regras!$A$4:$A$103,0)),INDEX(Regras!$E$4:$E$103,MATCH($D98,Regras!$A$4:$A$103,0)),IF($F98&gt;=INDEX(Regras!$D$4:$D$103,MATCH($D98,Regras!$A$4:$A$103,0)),INDEX(Regras!$F$4:$F$103,MATCH($D98,Regras!$A$4:$A$103,0)),0)),""))</f>
        <v/>
      </c>
      <c r="U98" s="27">
        <f>IF($AG98&lt;&gt;"Pronta","",IFERROR(IF($G98="",0,IF($G98&lt;=$E98*(1-INDEX(Regras!$G$4:$G$103,MATCH($D98,Regras!$A$4:$A$103,0))),INDEX(Regras!$H$4:$H$103,MATCH($D98,Regras!$A$4:$A$103,0)),IF($G98&gt;=$E98*(1+INDEX(Regras!$G$4:$G$103,MATCH($D98,Regras!$A$4:$A$103,0))),INDEX(Regras!$I$4:$I$103,MATCH($D98,Regras!$A$4:$A$103,0)),0))),""))</f>
        <v/>
      </c>
      <c r="V98" s="27">
        <f>IF($AG98&lt;&gt;"Pronta","",IFERROR(IF($H98/$S98&lt;=INDEX(Regras!$J$4:$J$103,MATCH($D98,Regras!$A$4:$A$103,0)),INDEX(Regras!$L$4:$L$103,MATCH($D98,Regras!$A$4:$A$103,0)),IF($H98/$S98&gt;=INDEX(Regras!$K$4:$K$103,MATCH($D98,Regras!$A$4:$A$103,0)),INDEX(Regras!$M$4:$M$103,MATCH($D98,Regras!$A$4:$A$103,0)),0)),""))</f>
        <v/>
      </c>
      <c r="W98" s="27">
        <f>IF($AG98&lt;&gt;"Pronta","",SUM($T98:$V98))</f>
        <v/>
      </c>
      <c r="X98" s="27">
        <f>IF($AG98&lt;&gt;"Pronta","",IFERROR(MAX(-INDEX(Regras!$N$4:$N$103,MATCH($D98,Regras!$A$4:$A$103,0)),MIN(INDEX(Regras!$N$4:$N$103,MATCH($D98,Regras!$A$4:$A$103,0)),$W98)),""))</f>
        <v/>
      </c>
      <c r="Y98" s="19">
        <f>IF($AG98&lt;&gt;"Pronta","",IFERROR(ROUND($E98*(1+$X98),2),""))</f>
        <v/>
      </c>
      <c r="Z98" s="29">
        <f>IF(OR($AG98&lt;&gt;"Pronta",$Q98="",$R98=""),"",IFERROR(ROUND(MIN($R98,MAX($Q98,$Y98)),2),""))</f>
        <v/>
      </c>
      <c r="AA98" s="27">
        <f>IF(OR($E98="",$Z98=""),"",IFERROR($Z98/$E98-1,""))</f>
        <v/>
      </c>
      <c r="AB98" s="26">
        <f>IF($Z98="","",IF($Y98&lt;$Q98,"Piso",IF($Y98&gt;$R98,"Teto","Nenhuma")))</f>
        <v/>
      </c>
      <c r="AC98" s="21">
        <f>IF($A98="","",IF($AG98&lt;&gt;"Pronta","Aguardando dados válidos",_xlfn.TEXTJOIN(" | ",TRUE,IF($T98&gt;0,"Demanda: aumento",IF($T98&lt;0,"Demanda: redução","")),IF($U98&gt;0,"Concorrência: aumento",IF($U98&lt;0,"Concorrência: redução","")),IF($V98&gt;0,"Estoque: aumento",IF($V98&lt;0,"Estoque: redução","")),IF(ABS($W98-$X98)&gt;0.0000001,"Limite da rodada aplicado",""),IF($AB98="Piso","Piso vigente aplicado",IF($AB98="Teto","Teto aplicado","")),IF(AND($T98=0,$U98=0,$V98=0),"Sem gatilho de reajuste",""))))</f>
        <v/>
      </c>
      <c r="AD98" s="21">
        <f>IF(OR($A98="",$AG98&lt;&gt;"Pronta"),"",_xlfn.TEXTJOIN(" | ",TRUE,IF($E98&lt;$Q98,"Preço atual abaixo do piso",""),IF($E98&gt;$R98,"Preço atual acima do teto",""),IF(AND($N98&gt;0,$E98&gt;0,1-$N98/$E98&lt;$O98),"Margem estimada do preço atual abaixo do mínimo",""),IF($G98="","Preço concorrente não informado",""),IF($AB98="Piso","Recomendação travada no piso",""),IF($AB98="Teto","Recomendação travada no teto","")))</f>
        <v/>
      </c>
      <c r="AE98" s="19">
        <f>IF($AG98&lt;&gt;"Pronta","",IF($I98="Aprovar recomendação",$Z98,IF($I98="Manter preço atual",$E98,IF($I98="Definir manualmente",$J98,""))))</f>
        <v/>
      </c>
      <c r="AF98" s="21">
        <f>IF($A98="","",IF($AG98&lt;&gt;"Pronta","Aguardando correção",IF(OR($I98="",$I98="Pendente"),"Decisão pendente",IF(AND($I98="Definir manualmente",OR($J98="",$J98&lt;=0)),"Informe o preço manual",IF(OR($AE98&lt;$Q98,$AE98&gt;$R98),"Preço final fora do piso/teto","OK")))))</f>
        <v/>
      </c>
      <c r="AG98" s="26">
        <f>IF(COUNTA($A98:$K98)=0,"",IF(OR($A98="",$B98="",$C98="",$D98="",$E98="",$F98="",$H98=""),"Incompleta",IF(OR(COUNTIF($A$5:$A$204,$A98)&gt;1,NOT(ISNUMBER($B98)),COUNTIF(Produtos!$A$4:$A$103,$C98)&lt;&gt;1,IFERROR(INDEX(Produtos!$K$4:$K$103,MATCH($C98,Produtos!$A$4:$A$103,0))&lt;&gt;"Ativo",TRUE),IFERROR(INDEX(Produtos!$L$4:$L$103,MATCH($C98,Produtos!$A$4:$A$103,0))&lt;&gt;"OK",TRUE),COUNTIF(Regras!$A$4:$A$103,$D98)&lt;&gt;1,IFERROR(INDEX(Regras!$O$4:$O$103,MATCH($D98,Regras!$A$4:$A$103,0))&lt;&gt;"Sim",TRUE),IFERROR(INDEX(Regras!$P$4:$P$103,MATCH($D98,Regras!$A$4:$A$103,0))&lt;&gt;"OK",TRUE),NOT(ISNUMBER($E98)),$E98&lt;=0,NOT(ISNUMBER($F98)),$F98&lt;0,$F98&gt;5,NOT(ISNUMBER($H98)),$H98&lt;0,$H98&lt;&gt;INT($H98),AND($G98&lt;&gt;"",OR(NOT(ISNUMBER($G98)),$G98&lt;=0))),"Revisar","Pronta")))</f>
        <v/>
      </c>
    </row>
    <row r="99">
      <c r="A99" s="16" t="n"/>
      <c r="B99" s="24" t="n"/>
      <c r="C99" s="16" t="n"/>
      <c r="D99" s="16" t="n"/>
      <c r="E99" s="17" t="n"/>
      <c r="F99" s="18" t="n"/>
      <c r="G99" s="17" t="n"/>
      <c r="H99" s="20" t="n"/>
      <c r="I99" s="16" t="n"/>
      <c r="J99" s="17" t="n"/>
      <c r="K99" s="25" t="n"/>
      <c r="L99" s="26">
        <f>IF($C99="","",IFERROR(INDEX(Produtos!$B$4:$B$103,MATCH($C99,Produtos!$A$4:$A$103,0)),""))</f>
        <v/>
      </c>
      <c r="M99" s="26">
        <f>IF($C99="","",IFERROR(INDEX(Produtos!$C$4:$C$103,MATCH($C99,Produtos!$A$4:$A$103,0)),""))</f>
        <v/>
      </c>
      <c r="N99" s="19">
        <f>IF($C99="","",IFERROR(INDEX(Produtos!$D$4:$D$103,MATCH($C99,Produtos!$A$4:$A$103,0)),""))</f>
        <v/>
      </c>
      <c r="O99" s="27">
        <f>IF($C99="","",IFERROR(INDEX(Produtos!$E$4:$E$103,MATCH($C99,Produtos!$A$4:$A$103,0)),""))</f>
        <v/>
      </c>
      <c r="P99" s="19">
        <f>IF($C99="","",IFERROR(INDEX(Produtos!$G$4:$G$103,MATCH($C99,Produtos!$A$4:$A$103,0)),""))</f>
        <v/>
      </c>
      <c r="Q99" s="19">
        <f>IF($C99="","",IFERROR(INDEX(Produtos!$H$4:$H$103,MATCH($C99,Produtos!$A$4:$A$103,0)),""))</f>
        <v/>
      </c>
      <c r="R99" s="19">
        <f>IF($C99="","",IFERROR(INDEX(Produtos!$I$4:$I$103,MATCH($C99,Produtos!$A$4:$A$103,0)),""))</f>
        <v/>
      </c>
      <c r="S99" s="28">
        <f>IF($C99="","",IFERROR(INDEX(Produtos!$J$4:$J$103,MATCH($C99,Produtos!$A$4:$A$103,0)),""))</f>
        <v/>
      </c>
      <c r="T99" s="27">
        <f>IF($AG99&lt;&gt;"Pronta","",IFERROR(IF($F99&lt;=INDEX(Regras!$C$4:$C$103,MATCH($D99,Regras!$A$4:$A$103,0)),INDEX(Regras!$E$4:$E$103,MATCH($D99,Regras!$A$4:$A$103,0)),IF($F99&gt;=INDEX(Regras!$D$4:$D$103,MATCH($D99,Regras!$A$4:$A$103,0)),INDEX(Regras!$F$4:$F$103,MATCH($D99,Regras!$A$4:$A$103,0)),0)),""))</f>
        <v/>
      </c>
      <c r="U99" s="27">
        <f>IF($AG99&lt;&gt;"Pronta","",IFERROR(IF($G99="",0,IF($G99&lt;=$E99*(1-INDEX(Regras!$G$4:$G$103,MATCH($D99,Regras!$A$4:$A$103,0))),INDEX(Regras!$H$4:$H$103,MATCH($D99,Regras!$A$4:$A$103,0)),IF($G99&gt;=$E99*(1+INDEX(Regras!$G$4:$G$103,MATCH($D99,Regras!$A$4:$A$103,0))),INDEX(Regras!$I$4:$I$103,MATCH($D99,Regras!$A$4:$A$103,0)),0))),""))</f>
        <v/>
      </c>
      <c r="V99" s="27">
        <f>IF($AG99&lt;&gt;"Pronta","",IFERROR(IF($H99/$S99&lt;=INDEX(Regras!$J$4:$J$103,MATCH($D99,Regras!$A$4:$A$103,0)),INDEX(Regras!$L$4:$L$103,MATCH($D99,Regras!$A$4:$A$103,0)),IF($H99/$S99&gt;=INDEX(Regras!$K$4:$K$103,MATCH($D99,Regras!$A$4:$A$103,0)),INDEX(Regras!$M$4:$M$103,MATCH($D99,Regras!$A$4:$A$103,0)),0)),""))</f>
        <v/>
      </c>
      <c r="W99" s="27">
        <f>IF($AG99&lt;&gt;"Pronta","",SUM($T99:$V99))</f>
        <v/>
      </c>
      <c r="X99" s="27">
        <f>IF($AG99&lt;&gt;"Pronta","",IFERROR(MAX(-INDEX(Regras!$N$4:$N$103,MATCH($D99,Regras!$A$4:$A$103,0)),MIN(INDEX(Regras!$N$4:$N$103,MATCH($D99,Regras!$A$4:$A$103,0)),$W99)),""))</f>
        <v/>
      </c>
      <c r="Y99" s="19">
        <f>IF($AG99&lt;&gt;"Pronta","",IFERROR(ROUND($E99*(1+$X99),2),""))</f>
        <v/>
      </c>
      <c r="Z99" s="29">
        <f>IF(OR($AG99&lt;&gt;"Pronta",$Q99="",$R99=""),"",IFERROR(ROUND(MIN($R99,MAX($Q99,$Y99)),2),""))</f>
        <v/>
      </c>
      <c r="AA99" s="27">
        <f>IF(OR($E99="",$Z99=""),"",IFERROR($Z99/$E99-1,""))</f>
        <v/>
      </c>
      <c r="AB99" s="26">
        <f>IF($Z99="","",IF($Y99&lt;$Q99,"Piso",IF($Y99&gt;$R99,"Teto","Nenhuma")))</f>
        <v/>
      </c>
      <c r="AC99" s="21">
        <f>IF($A99="","",IF($AG99&lt;&gt;"Pronta","Aguardando dados válidos",_xlfn.TEXTJOIN(" | ",TRUE,IF($T99&gt;0,"Demanda: aumento",IF($T99&lt;0,"Demanda: redução","")),IF($U99&gt;0,"Concorrência: aumento",IF($U99&lt;0,"Concorrência: redução","")),IF($V99&gt;0,"Estoque: aumento",IF($V99&lt;0,"Estoque: redução","")),IF(ABS($W99-$X99)&gt;0.0000001,"Limite da rodada aplicado",""),IF($AB99="Piso","Piso vigente aplicado",IF($AB99="Teto","Teto aplicado","")),IF(AND($T99=0,$U99=0,$V99=0),"Sem gatilho de reajuste",""))))</f>
        <v/>
      </c>
      <c r="AD99" s="21">
        <f>IF(OR($A99="",$AG99&lt;&gt;"Pronta"),"",_xlfn.TEXTJOIN(" | ",TRUE,IF($E99&lt;$Q99,"Preço atual abaixo do piso",""),IF($E99&gt;$R99,"Preço atual acima do teto",""),IF(AND($N99&gt;0,$E99&gt;0,1-$N99/$E99&lt;$O99),"Margem estimada do preço atual abaixo do mínimo",""),IF($G99="","Preço concorrente não informado",""),IF($AB99="Piso","Recomendação travada no piso",""),IF($AB99="Teto","Recomendação travada no teto","")))</f>
        <v/>
      </c>
      <c r="AE99" s="19">
        <f>IF($AG99&lt;&gt;"Pronta","",IF($I99="Aprovar recomendação",$Z99,IF($I99="Manter preço atual",$E99,IF($I99="Definir manualmente",$J99,""))))</f>
        <v/>
      </c>
      <c r="AF99" s="21">
        <f>IF($A99="","",IF($AG99&lt;&gt;"Pronta","Aguardando correção",IF(OR($I99="",$I99="Pendente"),"Decisão pendente",IF(AND($I99="Definir manualmente",OR($J99="",$J99&lt;=0)),"Informe o preço manual",IF(OR($AE99&lt;$Q99,$AE99&gt;$R99),"Preço final fora do piso/teto","OK")))))</f>
        <v/>
      </c>
      <c r="AG99" s="26">
        <f>IF(COUNTA($A99:$K99)=0,"",IF(OR($A99="",$B99="",$C99="",$D99="",$E99="",$F99="",$H99=""),"Incompleta",IF(OR(COUNTIF($A$5:$A$204,$A99)&gt;1,NOT(ISNUMBER($B99)),COUNTIF(Produtos!$A$4:$A$103,$C99)&lt;&gt;1,IFERROR(INDEX(Produtos!$K$4:$K$103,MATCH($C99,Produtos!$A$4:$A$103,0))&lt;&gt;"Ativo",TRUE),IFERROR(INDEX(Produtos!$L$4:$L$103,MATCH($C99,Produtos!$A$4:$A$103,0))&lt;&gt;"OK",TRUE),COUNTIF(Regras!$A$4:$A$103,$D99)&lt;&gt;1,IFERROR(INDEX(Regras!$O$4:$O$103,MATCH($D99,Regras!$A$4:$A$103,0))&lt;&gt;"Sim",TRUE),IFERROR(INDEX(Regras!$P$4:$P$103,MATCH($D99,Regras!$A$4:$A$103,0))&lt;&gt;"OK",TRUE),NOT(ISNUMBER($E99)),$E99&lt;=0,NOT(ISNUMBER($F99)),$F99&lt;0,$F99&gt;5,NOT(ISNUMBER($H99)),$H99&lt;0,$H99&lt;&gt;INT($H99),AND($G99&lt;&gt;"",OR(NOT(ISNUMBER($G99)),$G99&lt;=0))),"Revisar","Pronta")))</f>
        <v/>
      </c>
    </row>
    <row r="100">
      <c r="A100" s="16" t="n"/>
      <c r="B100" s="24" t="n"/>
      <c r="C100" s="16" t="n"/>
      <c r="D100" s="16" t="n"/>
      <c r="E100" s="17" t="n"/>
      <c r="F100" s="18" t="n"/>
      <c r="G100" s="17" t="n"/>
      <c r="H100" s="20" t="n"/>
      <c r="I100" s="16" t="n"/>
      <c r="J100" s="17" t="n"/>
      <c r="K100" s="25" t="n"/>
      <c r="L100" s="26">
        <f>IF($C100="","",IFERROR(INDEX(Produtos!$B$4:$B$103,MATCH($C100,Produtos!$A$4:$A$103,0)),""))</f>
        <v/>
      </c>
      <c r="M100" s="26">
        <f>IF($C100="","",IFERROR(INDEX(Produtos!$C$4:$C$103,MATCH($C100,Produtos!$A$4:$A$103,0)),""))</f>
        <v/>
      </c>
      <c r="N100" s="19">
        <f>IF($C100="","",IFERROR(INDEX(Produtos!$D$4:$D$103,MATCH($C100,Produtos!$A$4:$A$103,0)),""))</f>
        <v/>
      </c>
      <c r="O100" s="27">
        <f>IF($C100="","",IFERROR(INDEX(Produtos!$E$4:$E$103,MATCH($C100,Produtos!$A$4:$A$103,0)),""))</f>
        <v/>
      </c>
      <c r="P100" s="19">
        <f>IF($C100="","",IFERROR(INDEX(Produtos!$G$4:$G$103,MATCH($C100,Produtos!$A$4:$A$103,0)),""))</f>
        <v/>
      </c>
      <c r="Q100" s="19">
        <f>IF($C100="","",IFERROR(INDEX(Produtos!$H$4:$H$103,MATCH($C100,Produtos!$A$4:$A$103,0)),""))</f>
        <v/>
      </c>
      <c r="R100" s="19">
        <f>IF($C100="","",IFERROR(INDEX(Produtos!$I$4:$I$103,MATCH($C100,Produtos!$A$4:$A$103,0)),""))</f>
        <v/>
      </c>
      <c r="S100" s="28">
        <f>IF($C100="","",IFERROR(INDEX(Produtos!$J$4:$J$103,MATCH($C100,Produtos!$A$4:$A$103,0)),""))</f>
        <v/>
      </c>
      <c r="T100" s="27">
        <f>IF($AG100&lt;&gt;"Pronta","",IFERROR(IF($F100&lt;=INDEX(Regras!$C$4:$C$103,MATCH($D100,Regras!$A$4:$A$103,0)),INDEX(Regras!$E$4:$E$103,MATCH($D100,Regras!$A$4:$A$103,0)),IF($F100&gt;=INDEX(Regras!$D$4:$D$103,MATCH($D100,Regras!$A$4:$A$103,0)),INDEX(Regras!$F$4:$F$103,MATCH($D100,Regras!$A$4:$A$103,0)),0)),""))</f>
        <v/>
      </c>
      <c r="U100" s="27">
        <f>IF($AG100&lt;&gt;"Pronta","",IFERROR(IF($G100="",0,IF($G100&lt;=$E100*(1-INDEX(Regras!$G$4:$G$103,MATCH($D100,Regras!$A$4:$A$103,0))),INDEX(Regras!$H$4:$H$103,MATCH($D100,Regras!$A$4:$A$103,0)),IF($G100&gt;=$E100*(1+INDEX(Regras!$G$4:$G$103,MATCH($D100,Regras!$A$4:$A$103,0))),INDEX(Regras!$I$4:$I$103,MATCH($D100,Regras!$A$4:$A$103,0)),0))),""))</f>
        <v/>
      </c>
      <c r="V100" s="27">
        <f>IF($AG100&lt;&gt;"Pronta","",IFERROR(IF($H100/$S100&lt;=INDEX(Regras!$J$4:$J$103,MATCH($D100,Regras!$A$4:$A$103,0)),INDEX(Regras!$L$4:$L$103,MATCH($D100,Regras!$A$4:$A$103,0)),IF($H100/$S100&gt;=INDEX(Regras!$K$4:$K$103,MATCH($D100,Regras!$A$4:$A$103,0)),INDEX(Regras!$M$4:$M$103,MATCH($D100,Regras!$A$4:$A$103,0)),0)),""))</f>
        <v/>
      </c>
      <c r="W100" s="27">
        <f>IF($AG100&lt;&gt;"Pronta","",SUM($T100:$V100))</f>
        <v/>
      </c>
      <c r="X100" s="27">
        <f>IF($AG100&lt;&gt;"Pronta","",IFERROR(MAX(-INDEX(Regras!$N$4:$N$103,MATCH($D100,Regras!$A$4:$A$103,0)),MIN(INDEX(Regras!$N$4:$N$103,MATCH($D100,Regras!$A$4:$A$103,0)),$W100)),""))</f>
        <v/>
      </c>
      <c r="Y100" s="19">
        <f>IF($AG100&lt;&gt;"Pronta","",IFERROR(ROUND($E100*(1+$X100),2),""))</f>
        <v/>
      </c>
      <c r="Z100" s="29">
        <f>IF(OR($AG100&lt;&gt;"Pronta",$Q100="",$R100=""),"",IFERROR(ROUND(MIN($R100,MAX($Q100,$Y100)),2),""))</f>
        <v/>
      </c>
      <c r="AA100" s="27">
        <f>IF(OR($E100="",$Z100=""),"",IFERROR($Z100/$E100-1,""))</f>
        <v/>
      </c>
      <c r="AB100" s="26">
        <f>IF($Z100="","",IF($Y100&lt;$Q100,"Piso",IF($Y100&gt;$R100,"Teto","Nenhuma")))</f>
        <v/>
      </c>
      <c r="AC100" s="21">
        <f>IF($A100="","",IF($AG100&lt;&gt;"Pronta","Aguardando dados válidos",_xlfn.TEXTJOIN(" | ",TRUE,IF($T100&gt;0,"Demanda: aumento",IF($T100&lt;0,"Demanda: redução","")),IF($U100&gt;0,"Concorrência: aumento",IF($U100&lt;0,"Concorrência: redução","")),IF($V100&gt;0,"Estoque: aumento",IF($V100&lt;0,"Estoque: redução","")),IF(ABS($W100-$X100)&gt;0.0000001,"Limite da rodada aplicado",""),IF($AB100="Piso","Piso vigente aplicado",IF($AB100="Teto","Teto aplicado","")),IF(AND($T100=0,$U100=0,$V100=0),"Sem gatilho de reajuste",""))))</f>
        <v/>
      </c>
      <c r="AD100" s="21">
        <f>IF(OR($A100="",$AG100&lt;&gt;"Pronta"),"",_xlfn.TEXTJOIN(" | ",TRUE,IF($E100&lt;$Q100,"Preço atual abaixo do piso",""),IF($E100&gt;$R100,"Preço atual acima do teto",""),IF(AND($N100&gt;0,$E100&gt;0,1-$N100/$E100&lt;$O100),"Margem estimada do preço atual abaixo do mínimo",""),IF($G100="","Preço concorrente não informado",""),IF($AB100="Piso","Recomendação travada no piso",""),IF($AB100="Teto","Recomendação travada no teto","")))</f>
        <v/>
      </c>
      <c r="AE100" s="19">
        <f>IF($AG100&lt;&gt;"Pronta","",IF($I100="Aprovar recomendação",$Z100,IF($I100="Manter preço atual",$E100,IF($I100="Definir manualmente",$J100,""))))</f>
        <v/>
      </c>
      <c r="AF100" s="21">
        <f>IF($A100="","",IF($AG100&lt;&gt;"Pronta","Aguardando correção",IF(OR($I100="",$I100="Pendente"),"Decisão pendente",IF(AND($I100="Definir manualmente",OR($J100="",$J100&lt;=0)),"Informe o preço manual",IF(OR($AE100&lt;$Q100,$AE100&gt;$R100),"Preço final fora do piso/teto","OK")))))</f>
        <v/>
      </c>
      <c r="AG100" s="26">
        <f>IF(COUNTA($A100:$K100)=0,"",IF(OR($A100="",$B100="",$C100="",$D100="",$E100="",$F100="",$H100=""),"Incompleta",IF(OR(COUNTIF($A$5:$A$204,$A100)&gt;1,NOT(ISNUMBER($B100)),COUNTIF(Produtos!$A$4:$A$103,$C100)&lt;&gt;1,IFERROR(INDEX(Produtos!$K$4:$K$103,MATCH($C100,Produtos!$A$4:$A$103,0))&lt;&gt;"Ativo",TRUE),IFERROR(INDEX(Produtos!$L$4:$L$103,MATCH($C100,Produtos!$A$4:$A$103,0))&lt;&gt;"OK",TRUE),COUNTIF(Regras!$A$4:$A$103,$D100)&lt;&gt;1,IFERROR(INDEX(Regras!$O$4:$O$103,MATCH($D100,Regras!$A$4:$A$103,0))&lt;&gt;"Sim",TRUE),IFERROR(INDEX(Regras!$P$4:$P$103,MATCH($D100,Regras!$A$4:$A$103,0))&lt;&gt;"OK",TRUE),NOT(ISNUMBER($E100)),$E100&lt;=0,NOT(ISNUMBER($F100)),$F100&lt;0,$F100&gt;5,NOT(ISNUMBER($H100)),$H100&lt;0,$H100&lt;&gt;INT($H100),AND($G100&lt;&gt;"",OR(NOT(ISNUMBER($G100)),$G100&lt;=0))),"Revisar","Pronta")))</f>
        <v/>
      </c>
    </row>
    <row r="101">
      <c r="A101" s="16" t="n"/>
      <c r="B101" s="24" t="n"/>
      <c r="C101" s="16" t="n"/>
      <c r="D101" s="16" t="n"/>
      <c r="E101" s="17" t="n"/>
      <c r="F101" s="18" t="n"/>
      <c r="G101" s="17" t="n"/>
      <c r="H101" s="20" t="n"/>
      <c r="I101" s="16" t="n"/>
      <c r="J101" s="17" t="n"/>
      <c r="K101" s="25" t="n"/>
      <c r="L101" s="26">
        <f>IF($C101="","",IFERROR(INDEX(Produtos!$B$4:$B$103,MATCH($C101,Produtos!$A$4:$A$103,0)),""))</f>
        <v/>
      </c>
      <c r="M101" s="26">
        <f>IF($C101="","",IFERROR(INDEX(Produtos!$C$4:$C$103,MATCH($C101,Produtos!$A$4:$A$103,0)),""))</f>
        <v/>
      </c>
      <c r="N101" s="19">
        <f>IF($C101="","",IFERROR(INDEX(Produtos!$D$4:$D$103,MATCH($C101,Produtos!$A$4:$A$103,0)),""))</f>
        <v/>
      </c>
      <c r="O101" s="27">
        <f>IF($C101="","",IFERROR(INDEX(Produtos!$E$4:$E$103,MATCH($C101,Produtos!$A$4:$A$103,0)),""))</f>
        <v/>
      </c>
      <c r="P101" s="19">
        <f>IF($C101="","",IFERROR(INDEX(Produtos!$G$4:$G$103,MATCH($C101,Produtos!$A$4:$A$103,0)),""))</f>
        <v/>
      </c>
      <c r="Q101" s="19">
        <f>IF($C101="","",IFERROR(INDEX(Produtos!$H$4:$H$103,MATCH($C101,Produtos!$A$4:$A$103,0)),""))</f>
        <v/>
      </c>
      <c r="R101" s="19">
        <f>IF($C101="","",IFERROR(INDEX(Produtos!$I$4:$I$103,MATCH($C101,Produtos!$A$4:$A$103,0)),""))</f>
        <v/>
      </c>
      <c r="S101" s="28">
        <f>IF($C101="","",IFERROR(INDEX(Produtos!$J$4:$J$103,MATCH($C101,Produtos!$A$4:$A$103,0)),""))</f>
        <v/>
      </c>
      <c r="T101" s="27">
        <f>IF($AG101&lt;&gt;"Pronta","",IFERROR(IF($F101&lt;=INDEX(Regras!$C$4:$C$103,MATCH($D101,Regras!$A$4:$A$103,0)),INDEX(Regras!$E$4:$E$103,MATCH($D101,Regras!$A$4:$A$103,0)),IF($F101&gt;=INDEX(Regras!$D$4:$D$103,MATCH($D101,Regras!$A$4:$A$103,0)),INDEX(Regras!$F$4:$F$103,MATCH($D101,Regras!$A$4:$A$103,0)),0)),""))</f>
        <v/>
      </c>
      <c r="U101" s="27">
        <f>IF($AG101&lt;&gt;"Pronta","",IFERROR(IF($G101="",0,IF($G101&lt;=$E101*(1-INDEX(Regras!$G$4:$G$103,MATCH($D101,Regras!$A$4:$A$103,0))),INDEX(Regras!$H$4:$H$103,MATCH($D101,Regras!$A$4:$A$103,0)),IF($G101&gt;=$E101*(1+INDEX(Regras!$G$4:$G$103,MATCH($D101,Regras!$A$4:$A$103,0))),INDEX(Regras!$I$4:$I$103,MATCH($D101,Regras!$A$4:$A$103,0)),0))),""))</f>
        <v/>
      </c>
      <c r="V101" s="27">
        <f>IF($AG101&lt;&gt;"Pronta","",IFERROR(IF($H101/$S101&lt;=INDEX(Regras!$J$4:$J$103,MATCH($D101,Regras!$A$4:$A$103,0)),INDEX(Regras!$L$4:$L$103,MATCH($D101,Regras!$A$4:$A$103,0)),IF($H101/$S101&gt;=INDEX(Regras!$K$4:$K$103,MATCH($D101,Regras!$A$4:$A$103,0)),INDEX(Regras!$M$4:$M$103,MATCH($D101,Regras!$A$4:$A$103,0)),0)),""))</f>
        <v/>
      </c>
      <c r="W101" s="27">
        <f>IF($AG101&lt;&gt;"Pronta","",SUM($T101:$V101))</f>
        <v/>
      </c>
      <c r="X101" s="27">
        <f>IF($AG101&lt;&gt;"Pronta","",IFERROR(MAX(-INDEX(Regras!$N$4:$N$103,MATCH($D101,Regras!$A$4:$A$103,0)),MIN(INDEX(Regras!$N$4:$N$103,MATCH($D101,Regras!$A$4:$A$103,0)),$W101)),""))</f>
        <v/>
      </c>
      <c r="Y101" s="19">
        <f>IF($AG101&lt;&gt;"Pronta","",IFERROR(ROUND($E101*(1+$X101),2),""))</f>
        <v/>
      </c>
      <c r="Z101" s="29">
        <f>IF(OR($AG101&lt;&gt;"Pronta",$Q101="",$R101=""),"",IFERROR(ROUND(MIN($R101,MAX($Q101,$Y101)),2),""))</f>
        <v/>
      </c>
      <c r="AA101" s="27">
        <f>IF(OR($E101="",$Z101=""),"",IFERROR($Z101/$E101-1,""))</f>
        <v/>
      </c>
      <c r="AB101" s="26">
        <f>IF($Z101="","",IF($Y101&lt;$Q101,"Piso",IF($Y101&gt;$R101,"Teto","Nenhuma")))</f>
        <v/>
      </c>
      <c r="AC101" s="21">
        <f>IF($A101="","",IF($AG101&lt;&gt;"Pronta","Aguardando dados válidos",_xlfn.TEXTJOIN(" | ",TRUE,IF($T101&gt;0,"Demanda: aumento",IF($T101&lt;0,"Demanda: redução","")),IF($U101&gt;0,"Concorrência: aumento",IF($U101&lt;0,"Concorrência: redução","")),IF($V101&gt;0,"Estoque: aumento",IF($V101&lt;0,"Estoque: redução","")),IF(ABS($W101-$X101)&gt;0.0000001,"Limite da rodada aplicado",""),IF($AB101="Piso","Piso vigente aplicado",IF($AB101="Teto","Teto aplicado","")),IF(AND($T101=0,$U101=0,$V101=0),"Sem gatilho de reajuste",""))))</f>
        <v/>
      </c>
      <c r="AD101" s="21">
        <f>IF(OR($A101="",$AG101&lt;&gt;"Pronta"),"",_xlfn.TEXTJOIN(" | ",TRUE,IF($E101&lt;$Q101,"Preço atual abaixo do piso",""),IF($E101&gt;$R101,"Preço atual acima do teto",""),IF(AND($N101&gt;0,$E101&gt;0,1-$N101/$E101&lt;$O101),"Margem estimada do preço atual abaixo do mínimo",""),IF($G101="","Preço concorrente não informado",""),IF($AB101="Piso","Recomendação travada no piso",""),IF($AB101="Teto","Recomendação travada no teto","")))</f>
        <v/>
      </c>
      <c r="AE101" s="19">
        <f>IF($AG101&lt;&gt;"Pronta","",IF($I101="Aprovar recomendação",$Z101,IF($I101="Manter preço atual",$E101,IF($I101="Definir manualmente",$J101,""))))</f>
        <v/>
      </c>
      <c r="AF101" s="21">
        <f>IF($A101="","",IF($AG101&lt;&gt;"Pronta","Aguardando correção",IF(OR($I101="",$I101="Pendente"),"Decisão pendente",IF(AND($I101="Definir manualmente",OR($J101="",$J101&lt;=0)),"Informe o preço manual",IF(OR($AE101&lt;$Q101,$AE101&gt;$R101),"Preço final fora do piso/teto","OK")))))</f>
        <v/>
      </c>
      <c r="AG101" s="26">
        <f>IF(COUNTA($A101:$K101)=0,"",IF(OR($A101="",$B101="",$C101="",$D101="",$E101="",$F101="",$H101=""),"Incompleta",IF(OR(COUNTIF($A$5:$A$204,$A101)&gt;1,NOT(ISNUMBER($B101)),COUNTIF(Produtos!$A$4:$A$103,$C101)&lt;&gt;1,IFERROR(INDEX(Produtos!$K$4:$K$103,MATCH($C101,Produtos!$A$4:$A$103,0))&lt;&gt;"Ativo",TRUE),IFERROR(INDEX(Produtos!$L$4:$L$103,MATCH($C101,Produtos!$A$4:$A$103,0))&lt;&gt;"OK",TRUE),COUNTIF(Regras!$A$4:$A$103,$D101)&lt;&gt;1,IFERROR(INDEX(Regras!$O$4:$O$103,MATCH($D101,Regras!$A$4:$A$103,0))&lt;&gt;"Sim",TRUE),IFERROR(INDEX(Regras!$P$4:$P$103,MATCH($D101,Regras!$A$4:$A$103,0))&lt;&gt;"OK",TRUE),NOT(ISNUMBER($E101)),$E101&lt;=0,NOT(ISNUMBER($F101)),$F101&lt;0,$F101&gt;5,NOT(ISNUMBER($H101)),$H101&lt;0,$H101&lt;&gt;INT($H101),AND($G101&lt;&gt;"",OR(NOT(ISNUMBER($G101)),$G101&lt;=0))),"Revisar","Pronta")))</f>
        <v/>
      </c>
    </row>
    <row r="102">
      <c r="A102" s="16" t="n"/>
      <c r="B102" s="24" t="n"/>
      <c r="C102" s="16" t="n"/>
      <c r="D102" s="16" t="n"/>
      <c r="E102" s="17" t="n"/>
      <c r="F102" s="18" t="n"/>
      <c r="G102" s="17" t="n"/>
      <c r="H102" s="20" t="n"/>
      <c r="I102" s="16" t="n"/>
      <c r="J102" s="17" t="n"/>
      <c r="K102" s="25" t="n"/>
      <c r="L102" s="26">
        <f>IF($C102="","",IFERROR(INDEX(Produtos!$B$4:$B$103,MATCH($C102,Produtos!$A$4:$A$103,0)),""))</f>
        <v/>
      </c>
      <c r="M102" s="26">
        <f>IF($C102="","",IFERROR(INDEX(Produtos!$C$4:$C$103,MATCH($C102,Produtos!$A$4:$A$103,0)),""))</f>
        <v/>
      </c>
      <c r="N102" s="19">
        <f>IF($C102="","",IFERROR(INDEX(Produtos!$D$4:$D$103,MATCH($C102,Produtos!$A$4:$A$103,0)),""))</f>
        <v/>
      </c>
      <c r="O102" s="27">
        <f>IF($C102="","",IFERROR(INDEX(Produtos!$E$4:$E$103,MATCH($C102,Produtos!$A$4:$A$103,0)),""))</f>
        <v/>
      </c>
      <c r="P102" s="19">
        <f>IF($C102="","",IFERROR(INDEX(Produtos!$G$4:$G$103,MATCH($C102,Produtos!$A$4:$A$103,0)),""))</f>
        <v/>
      </c>
      <c r="Q102" s="19">
        <f>IF($C102="","",IFERROR(INDEX(Produtos!$H$4:$H$103,MATCH($C102,Produtos!$A$4:$A$103,0)),""))</f>
        <v/>
      </c>
      <c r="R102" s="19">
        <f>IF($C102="","",IFERROR(INDEX(Produtos!$I$4:$I$103,MATCH($C102,Produtos!$A$4:$A$103,0)),""))</f>
        <v/>
      </c>
      <c r="S102" s="28">
        <f>IF($C102="","",IFERROR(INDEX(Produtos!$J$4:$J$103,MATCH($C102,Produtos!$A$4:$A$103,0)),""))</f>
        <v/>
      </c>
      <c r="T102" s="27">
        <f>IF($AG102&lt;&gt;"Pronta","",IFERROR(IF($F102&lt;=INDEX(Regras!$C$4:$C$103,MATCH($D102,Regras!$A$4:$A$103,0)),INDEX(Regras!$E$4:$E$103,MATCH($D102,Regras!$A$4:$A$103,0)),IF($F102&gt;=INDEX(Regras!$D$4:$D$103,MATCH($D102,Regras!$A$4:$A$103,0)),INDEX(Regras!$F$4:$F$103,MATCH($D102,Regras!$A$4:$A$103,0)),0)),""))</f>
        <v/>
      </c>
      <c r="U102" s="27">
        <f>IF($AG102&lt;&gt;"Pronta","",IFERROR(IF($G102="",0,IF($G102&lt;=$E102*(1-INDEX(Regras!$G$4:$G$103,MATCH($D102,Regras!$A$4:$A$103,0))),INDEX(Regras!$H$4:$H$103,MATCH($D102,Regras!$A$4:$A$103,0)),IF($G102&gt;=$E102*(1+INDEX(Regras!$G$4:$G$103,MATCH($D102,Regras!$A$4:$A$103,0))),INDEX(Regras!$I$4:$I$103,MATCH($D102,Regras!$A$4:$A$103,0)),0))),""))</f>
        <v/>
      </c>
      <c r="V102" s="27">
        <f>IF($AG102&lt;&gt;"Pronta","",IFERROR(IF($H102/$S102&lt;=INDEX(Regras!$J$4:$J$103,MATCH($D102,Regras!$A$4:$A$103,0)),INDEX(Regras!$L$4:$L$103,MATCH($D102,Regras!$A$4:$A$103,0)),IF($H102/$S102&gt;=INDEX(Regras!$K$4:$K$103,MATCH($D102,Regras!$A$4:$A$103,0)),INDEX(Regras!$M$4:$M$103,MATCH($D102,Regras!$A$4:$A$103,0)),0)),""))</f>
        <v/>
      </c>
      <c r="W102" s="27">
        <f>IF($AG102&lt;&gt;"Pronta","",SUM($T102:$V102))</f>
        <v/>
      </c>
      <c r="X102" s="27">
        <f>IF($AG102&lt;&gt;"Pronta","",IFERROR(MAX(-INDEX(Regras!$N$4:$N$103,MATCH($D102,Regras!$A$4:$A$103,0)),MIN(INDEX(Regras!$N$4:$N$103,MATCH($D102,Regras!$A$4:$A$103,0)),$W102)),""))</f>
        <v/>
      </c>
      <c r="Y102" s="19">
        <f>IF($AG102&lt;&gt;"Pronta","",IFERROR(ROUND($E102*(1+$X102),2),""))</f>
        <v/>
      </c>
      <c r="Z102" s="29">
        <f>IF(OR($AG102&lt;&gt;"Pronta",$Q102="",$R102=""),"",IFERROR(ROUND(MIN($R102,MAX($Q102,$Y102)),2),""))</f>
        <v/>
      </c>
      <c r="AA102" s="27">
        <f>IF(OR($E102="",$Z102=""),"",IFERROR($Z102/$E102-1,""))</f>
        <v/>
      </c>
      <c r="AB102" s="26">
        <f>IF($Z102="","",IF($Y102&lt;$Q102,"Piso",IF($Y102&gt;$R102,"Teto","Nenhuma")))</f>
        <v/>
      </c>
      <c r="AC102" s="21">
        <f>IF($A102="","",IF($AG102&lt;&gt;"Pronta","Aguardando dados válidos",_xlfn.TEXTJOIN(" | ",TRUE,IF($T102&gt;0,"Demanda: aumento",IF($T102&lt;0,"Demanda: redução","")),IF($U102&gt;0,"Concorrência: aumento",IF($U102&lt;0,"Concorrência: redução","")),IF($V102&gt;0,"Estoque: aumento",IF($V102&lt;0,"Estoque: redução","")),IF(ABS($W102-$X102)&gt;0.0000001,"Limite da rodada aplicado",""),IF($AB102="Piso","Piso vigente aplicado",IF($AB102="Teto","Teto aplicado","")),IF(AND($T102=0,$U102=0,$V102=0),"Sem gatilho de reajuste",""))))</f>
        <v/>
      </c>
      <c r="AD102" s="21">
        <f>IF(OR($A102="",$AG102&lt;&gt;"Pronta"),"",_xlfn.TEXTJOIN(" | ",TRUE,IF($E102&lt;$Q102,"Preço atual abaixo do piso",""),IF($E102&gt;$R102,"Preço atual acima do teto",""),IF(AND($N102&gt;0,$E102&gt;0,1-$N102/$E102&lt;$O102),"Margem estimada do preço atual abaixo do mínimo",""),IF($G102="","Preço concorrente não informado",""),IF($AB102="Piso","Recomendação travada no piso",""),IF($AB102="Teto","Recomendação travada no teto","")))</f>
        <v/>
      </c>
      <c r="AE102" s="19">
        <f>IF($AG102&lt;&gt;"Pronta","",IF($I102="Aprovar recomendação",$Z102,IF($I102="Manter preço atual",$E102,IF($I102="Definir manualmente",$J102,""))))</f>
        <v/>
      </c>
      <c r="AF102" s="21">
        <f>IF($A102="","",IF($AG102&lt;&gt;"Pronta","Aguardando correção",IF(OR($I102="",$I102="Pendente"),"Decisão pendente",IF(AND($I102="Definir manualmente",OR($J102="",$J102&lt;=0)),"Informe o preço manual",IF(OR($AE102&lt;$Q102,$AE102&gt;$R102),"Preço final fora do piso/teto","OK")))))</f>
        <v/>
      </c>
      <c r="AG102" s="26">
        <f>IF(COUNTA($A102:$K102)=0,"",IF(OR($A102="",$B102="",$C102="",$D102="",$E102="",$F102="",$H102=""),"Incompleta",IF(OR(COUNTIF($A$5:$A$204,$A102)&gt;1,NOT(ISNUMBER($B102)),COUNTIF(Produtos!$A$4:$A$103,$C102)&lt;&gt;1,IFERROR(INDEX(Produtos!$K$4:$K$103,MATCH($C102,Produtos!$A$4:$A$103,0))&lt;&gt;"Ativo",TRUE),IFERROR(INDEX(Produtos!$L$4:$L$103,MATCH($C102,Produtos!$A$4:$A$103,0))&lt;&gt;"OK",TRUE),COUNTIF(Regras!$A$4:$A$103,$D102)&lt;&gt;1,IFERROR(INDEX(Regras!$O$4:$O$103,MATCH($D102,Regras!$A$4:$A$103,0))&lt;&gt;"Sim",TRUE),IFERROR(INDEX(Regras!$P$4:$P$103,MATCH($D102,Regras!$A$4:$A$103,0))&lt;&gt;"OK",TRUE),NOT(ISNUMBER($E102)),$E102&lt;=0,NOT(ISNUMBER($F102)),$F102&lt;0,$F102&gt;5,NOT(ISNUMBER($H102)),$H102&lt;0,$H102&lt;&gt;INT($H102),AND($G102&lt;&gt;"",OR(NOT(ISNUMBER($G102)),$G102&lt;=0))),"Revisar","Pronta")))</f>
        <v/>
      </c>
    </row>
    <row r="103">
      <c r="A103" s="16" t="n"/>
      <c r="B103" s="24" t="n"/>
      <c r="C103" s="16" t="n"/>
      <c r="D103" s="16" t="n"/>
      <c r="E103" s="17" t="n"/>
      <c r="F103" s="18" t="n"/>
      <c r="G103" s="17" t="n"/>
      <c r="H103" s="20" t="n"/>
      <c r="I103" s="16" t="n"/>
      <c r="J103" s="17" t="n"/>
      <c r="K103" s="25" t="n"/>
      <c r="L103" s="26">
        <f>IF($C103="","",IFERROR(INDEX(Produtos!$B$4:$B$103,MATCH($C103,Produtos!$A$4:$A$103,0)),""))</f>
        <v/>
      </c>
      <c r="M103" s="26">
        <f>IF($C103="","",IFERROR(INDEX(Produtos!$C$4:$C$103,MATCH($C103,Produtos!$A$4:$A$103,0)),""))</f>
        <v/>
      </c>
      <c r="N103" s="19">
        <f>IF($C103="","",IFERROR(INDEX(Produtos!$D$4:$D$103,MATCH($C103,Produtos!$A$4:$A$103,0)),""))</f>
        <v/>
      </c>
      <c r="O103" s="27">
        <f>IF($C103="","",IFERROR(INDEX(Produtos!$E$4:$E$103,MATCH($C103,Produtos!$A$4:$A$103,0)),""))</f>
        <v/>
      </c>
      <c r="P103" s="19">
        <f>IF($C103="","",IFERROR(INDEX(Produtos!$G$4:$G$103,MATCH($C103,Produtos!$A$4:$A$103,0)),""))</f>
        <v/>
      </c>
      <c r="Q103" s="19">
        <f>IF($C103="","",IFERROR(INDEX(Produtos!$H$4:$H$103,MATCH($C103,Produtos!$A$4:$A$103,0)),""))</f>
        <v/>
      </c>
      <c r="R103" s="19">
        <f>IF($C103="","",IFERROR(INDEX(Produtos!$I$4:$I$103,MATCH($C103,Produtos!$A$4:$A$103,0)),""))</f>
        <v/>
      </c>
      <c r="S103" s="28">
        <f>IF($C103="","",IFERROR(INDEX(Produtos!$J$4:$J$103,MATCH($C103,Produtos!$A$4:$A$103,0)),""))</f>
        <v/>
      </c>
      <c r="T103" s="27">
        <f>IF($AG103&lt;&gt;"Pronta","",IFERROR(IF($F103&lt;=INDEX(Regras!$C$4:$C$103,MATCH($D103,Regras!$A$4:$A$103,0)),INDEX(Regras!$E$4:$E$103,MATCH($D103,Regras!$A$4:$A$103,0)),IF($F103&gt;=INDEX(Regras!$D$4:$D$103,MATCH($D103,Regras!$A$4:$A$103,0)),INDEX(Regras!$F$4:$F$103,MATCH($D103,Regras!$A$4:$A$103,0)),0)),""))</f>
        <v/>
      </c>
      <c r="U103" s="27">
        <f>IF($AG103&lt;&gt;"Pronta","",IFERROR(IF($G103="",0,IF($G103&lt;=$E103*(1-INDEX(Regras!$G$4:$G$103,MATCH($D103,Regras!$A$4:$A$103,0))),INDEX(Regras!$H$4:$H$103,MATCH($D103,Regras!$A$4:$A$103,0)),IF($G103&gt;=$E103*(1+INDEX(Regras!$G$4:$G$103,MATCH($D103,Regras!$A$4:$A$103,0))),INDEX(Regras!$I$4:$I$103,MATCH($D103,Regras!$A$4:$A$103,0)),0))),""))</f>
        <v/>
      </c>
      <c r="V103" s="27">
        <f>IF($AG103&lt;&gt;"Pronta","",IFERROR(IF($H103/$S103&lt;=INDEX(Regras!$J$4:$J$103,MATCH($D103,Regras!$A$4:$A$103,0)),INDEX(Regras!$L$4:$L$103,MATCH($D103,Regras!$A$4:$A$103,0)),IF($H103/$S103&gt;=INDEX(Regras!$K$4:$K$103,MATCH($D103,Regras!$A$4:$A$103,0)),INDEX(Regras!$M$4:$M$103,MATCH($D103,Regras!$A$4:$A$103,0)),0)),""))</f>
        <v/>
      </c>
      <c r="W103" s="27">
        <f>IF($AG103&lt;&gt;"Pronta","",SUM($T103:$V103))</f>
        <v/>
      </c>
      <c r="X103" s="27">
        <f>IF($AG103&lt;&gt;"Pronta","",IFERROR(MAX(-INDEX(Regras!$N$4:$N$103,MATCH($D103,Regras!$A$4:$A$103,0)),MIN(INDEX(Regras!$N$4:$N$103,MATCH($D103,Regras!$A$4:$A$103,0)),$W103)),""))</f>
        <v/>
      </c>
      <c r="Y103" s="19">
        <f>IF($AG103&lt;&gt;"Pronta","",IFERROR(ROUND($E103*(1+$X103),2),""))</f>
        <v/>
      </c>
      <c r="Z103" s="29">
        <f>IF(OR($AG103&lt;&gt;"Pronta",$Q103="",$R103=""),"",IFERROR(ROUND(MIN($R103,MAX($Q103,$Y103)),2),""))</f>
        <v/>
      </c>
      <c r="AA103" s="27">
        <f>IF(OR($E103="",$Z103=""),"",IFERROR($Z103/$E103-1,""))</f>
        <v/>
      </c>
      <c r="AB103" s="26">
        <f>IF($Z103="","",IF($Y103&lt;$Q103,"Piso",IF($Y103&gt;$R103,"Teto","Nenhuma")))</f>
        <v/>
      </c>
      <c r="AC103" s="21">
        <f>IF($A103="","",IF($AG103&lt;&gt;"Pronta","Aguardando dados válidos",_xlfn.TEXTJOIN(" | ",TRUE,IF($T103&gt;0,"Demanda: aumento",IF($T103&lt;0,"Demanda: redução","")),IF($U103&gt;0,"Concorrência: aumento",IF($U103&lt;0,"Concorrência: redução","")),IF($V103&gt;0,"Estoque: aumento",IF($V103&lt;0,"Estoque: redução","")),IF(ABS($W103-$X103)&gt;0.0000001,"Limite da rodada aplicado",""),IF($AB103="Piso","Piso vigente aplicado",IF($AB103="Teto","Teto aplicado","")),IF(AND($T103=0,$U103=0,$V103=0),"Sem gatilho de reajuste",""))))</f>
        <v/>
      </c>
      <c r="AD103" s="21">
        <f>IF(OR($A103="",$AG103&lt;&gt;"Pronta"),"",_xlfn.TEXTJOIN(" | ",TRUE,IF($E103&lt;$Q103,"Preço atual abaixo do piso",""),IF($E103&gt;$R103,"Preço atual acima do teto",""),IF(AND($N103&gt;0,$E103&gt;0,1-$N103/$E103&lt;$O103),"Margem estimada do preço atual abaixo do mínimo",""),IF($G103="","Preço concorrente não informado",""),IF($AB103="Piso","Recomendação travada no piso",""),IF($AB103="Teto","Recomendação travada no teto","")))</f>
        <v/>
      </c>
      <c r="AE103" s="19">
        <f>IF($AG103&lt;&gt;"Pronta","",IF($I103="Aprovar recomendação",$Z103,IF($I103="Manter preço atual",$E103,IF($I103="Definir manualmente",$J103,""))))</f>
        <v/>
      </c>
      <c r="AF103" s="21">
        <f>IF($A103="","",IF($AG103&lt;&gt;"Pronta","Aguardando correção",IF(OR($I103="",$I103="Pendente"),"Decisão pendente",IF(AND($I103="Definir manualmente",OR($J103="",$J103&lt;=0)),"Informe o preço manual",IF(OR($AE103&lt;$Q103,$AE103&gt;$R103),"Preço final fora do piso/teto","OK")))))</f>
        <v/>
      </c>
      <c r="AG103" s="26">
        <f>IF(COUNTA($A103:$K103)=0,"",IF(OR($A103="",$B103="",$C103="",$D103="",$E103="",$F103="",$H103=""),"Incompleta",IF(OR(COUNTIF($A$5:$A$204,$A103)&gt;1,NOT(ISNUMBER($B103)),COUNTIF(Produtos!$A$4:$A$103,$C103)&lt;&gt;1,IFERROR(INDEX(Produtos!$K$4:$K$103,MATCH($C103,Produtos!$A$4:$A$103,0))&lt;&gt;"Ativo",TRUE),IFERROR(INDEX(Produtos!$L$4:$L$103,MATCH($C103,Produtos!$A$4:$A$103,0))&lt;&gt;"OK",TRUE),COUNTIF(Regras!$A$4:$A$103,$D103)&lt;&gt;1,IFERROR(INDEX(Regras!$O$4:$O$103,MATCH($D103,Regras!$A$4:$A$103,0))&lt;&gt;"Sim",TRUE),IFERROR(INDEX(Regras!$P$4:$P$103,MATCH($D103,Regras!$A$4:$A$103,0))&lt;&gt;"OK",TRUE),NOT(ISNUMBER($E103)),$E103&lt;=0,NOT(ISNUMBER($F103)),$F103&lt;0,$F103&gt;5,NOT(ISNUMBER($H103)),$H103&lt;0,$H103&lt;&gt;INT($H103),AND($G103&lt;&gt;"",OR(NOT(ISNUMBER($G103)),$G103&lt;=0))),"Revisar","Pronta")))</f>
        <v/>
      </c>
    </row>
    <row r="104">
      <c r="A104" s="16" t="n"/>
      <c r="B104" s="24" t="n"/>
      <c r="C104" s="16" t="n"/>
      <c r="D104" s="16" t="n"/>
      <c r="E104" s="17" t="n"/>
      <c r="F104" s="18" t="n"/>
      <c r="G104" s="17" t="n"/>
      <c r="H104" s="20" t="n"/>
      <c r="I104" s="16" t="n"/>
      <c r="J104" s="17" t="n"/>
      <c r="K104" s="25" t="n"/>
      <c r="L104" s="26">
        <f>IF($C104="","",IFERROR(INDEX(Produtos!$B$4:$B$103,MATCH($C104,Produtos!$A$4:$A$103,0)),""))</f>
        <v/>
      </c>
      <c r="M104" s="26">
        <f>IF($C104="","",IFERROR(INDEX(Produtos!$C$4:$C$103,MATCH($C104,Produtos!$A$4:$A$103,0)),""))</f>
        <v/>
      </c>
      <c r="N104" s="19">
        <f>IF($C104="","",IFERROR(INDEX(Produtos!$D$4:$D$103,MATCH($C104,Produtos!$A$4:$A$103,0)),""))</f>
        <v/>
      </c>
      <c r="O104" s="27">
        <f>IF($C104="","",IFERROR(INDEX(Produtos!$E$4:$E$103,MATCH($C104,Produtos!$A$4:$A$103,0)),""))</f>
        <v/>
      </c>
      <c r="P104" s="19">
        <f>IF($C104="","",IFERROR(INDEX(Produtos!$G$4:$G$103,MATCH($C104,Produtos!$A$4:$A$103,0)),""))</f>
        <v/>
      </c>
      <c r="Q104" s="19">
        <f>IF($C104="","",IFERROR(INDEX(Produtos!$H$4:$H$103,MATCH($C104,Produtos!$A$4:$A$103,0)),""))</f>
        <v/>
      </c>
      <c r="R104" s="19">
        <f>IF($C104="","",IFERROR(INDEX(Produtos!$I$4:$I$103,MATCH($C104,Produtos!$A$4:$A$103,0)),""))</f>
        <v/>
      </c>
      <c r="S104" s="28">
        <f>IF($C104="","",IFERROR(INDEX(Produtos!$J$4:$J$103,MATCH($C104,Produtos!$A$4:$A$103,0)),""))</f>
        <v/>
      </c>
      <c r="T104" s="27">
        <f>IF($AG104&lt;&gt;"Pronta","",IFERROR(IF($F104&lt;=INDEX(Regras!$C$4:$C$103,MATCH($D104,Regras!$A$4:$A$103,0)),INDEX(Regras!$E$4:$E$103,MATCH($D104,Regras!$A$4:$A$103,0)),IF($F104&gt;=INDEX(Regras!$D$4:$D$103,MATCH($D104,Regras!$A$4:$A$103,0)),INDEX(Regras!$F$4:$F$103,MATCH($D104,Regras!$A$4:$A$103,0)),0)),""))</f>
        <v/>
      </c>
      <c r="U104" s="27">
        <f>IF($AG104&lt;&gt;"Pronta","",IFERROR(IF($G104="",0,IF($G104&lt;=$E104*(1-INDEX(Regras!$G$4:$G$103,MATCH($D104,Regras!$A$4:$A$103,0))),INDEX(Regras!$H$4:$H$103,MATCH($D104,Regras!$A$4:$A$103,0)),IF($G104&gt;=$E104*(1+INDEX(Regras!$G$4:$G$103,MATCH($D104,Regras!$A$4:$A$103,0))),INDEX(Regras!$I$4:$I$103,MATCH($D104,Regras!$A$4:$A$103,0)),0))),""))</f>
        <v/>
      </c>
      <c r="V104" s="27">
        <f>IF($AG104&lt;&gt;"Pronta","",IFERROR(IF($H104/$S104&lt;=INDEX(Regras!$J$4:$J$103,MATCH($D104,Regras!$A$4:$A$103,0)),INDEX(Regras!$L$4:$L$103,MATCH($D104,Regras!$A$4:$A$103,0)),IF($H104/$S104&gt;=INDEX(Regras!$K$4:$K$103,MATCH($D104,Regras!$A$4:$A$103,0)),INDEX(Regras!$M$4:$M$103,MATCH($D104,Regras!$A$4:$A$103,0)),0)),""))</f>
        <v/>
      </c>
      <c r="W104" s="27">
        <f>IF($AG104&lt;&gt;"Pronta","",SUM($T104:$V104))</f>
        <v/>
      </c>
      <c r="X104" s="27">
        <f>IF($AG104&lt;&gt;"Pronta","",IFERROR(MAX(-INDEX(Regras!$N$4:$N$103,MATCH($D104,Regras!$A$4:$A$103,0)),MIN(INDEX(Regras!$N$4:$N$103,MATCH($D104,Regras!$A$4:$A$103,0)),$W104)),""))</f>
        <v/>
      </c>
      <c r="Y104" s="19">
        <f>IF($AG104&lt;&gt;"Pronta","",IFERROR(ROUND($E104*(1+$X104),2),""))</f>
        <v/>
      </c>
      <c r="Z104" s="29">
        <f>IF(OR($AG104&lt;&gt;"Pronta",$Q104="",$R104=""),"",IFERROR(ROUND(MIN($R104,MAX($Q104,$Y104)),2),""))</f>
        <v/>
      </c>
      <c r="AA104" s="27">
        <f>IF(OR($E104="",$Z104=""),"",IFERROR($Z104/$E104-1,""))</f>
        <v/>
      </c>
      <c r="AB104" s="26">
        <f>IF($Z104="","",IF($Y104&lt;$Q104,"Piso",IF($Y104&gt;$R104,"Teto","Nenhuma")))</f>
        <v/>
      </c>
      <c r="AC104" s="21">
        <f>IF($A104="","",IF($AG104&lt;&gt;"Pronta","Aguardando dados válidos",_xlfn.TEXTJOIN(" | ",TRUE,IF($T104&gt;0,"Demanda: aumento",IF($T104&lt;0,"Demanda: redução","")),IF($U104&gt;0,"Concorrência: aumento",IF($U104&lt;0,"Concorrência: redução","")),IF($V104&gt;0,"Estoque: aumento",IF($V104&lt;0,"Estoque: redução","")),IF(ABS($W104-$X104)&gt;0.0000001,"Limite da rodada aplicado",""),IF($AB104="Piso","Piso vigente aplicado",IF($AB104="Teto","Teto aplicado","")),IF(AND($T104=0,$U104=0,$V104=0),"Sem gatilho de reajuste",""))))</f>
        <v/>
      </c>
      <c r="AD104" s="21">
        <f>IF(OR($A104="",$AG104&lt;&gt;"Pronta"),"",_xlfn.TEXTJOIN(" | ",TRUE,IF($E104&lt;$Q104,"Preço atual abaixo do piso",""),IF($E104&gt;$R104,"Preço atual acima do teto",""),IF(AND($N104&gt;0,$E104&gt;0,1-$N104/$E104&lt;$O104),"Margem estimada do preço atual abaixo do mínimo",""),IF($G104="","Preço concorrente não informado",""),IF($AB104="Piso","Recomendação travada no piso",""),IF($AB104="Teto","Recomendação travada no teto","")))</f>
        <v/>
      </c>
      <c r="AE104" s="19">
        <f>IF($AG104&lt;&gt;"Pronta","",IF($I104="Aprovar recomendação",$Z104,IF($I104="Manter preço atual",$E104,IF($I104="Definir manualmente",$J104,""))))</f>
        <v/>
      </c>
      <c r="AF104" s="21">
        <f>IF($A104="","",IF($AG104&lt;&gt;"Pronta","Aguardando correção",IF(OR($I104="",$I104="Pendente"),"Decisão pendente",IF(AND($I104="Definir manualmente",OR($J104="",$J104&lt;=0)),"Informe o preço manual",IF(OR($AE104&lt;$Q104,$AE104&gt;$R104),"Preço final fora do piso/teto","OK")))))</f>
        <v/>
      </c>
      <c r="AG104" s="26">
        <f>IF(COUNTA($A104:$K104)=0,"",IF(OR($A104="",$B104="",$C104="",$D104="",$E104="",$F104="",$H104=""),"Incompleta",IF(OR(COUNTIF($A$5:$A$204,$A104)&gt;1,NOT(ISNUMBER($B104)),COUNTIF(Produtos!$A$4:$A$103,$C104)&lt;&gt;1,IFERROR(INDEX(Produtos!$K$4:$K$103,MATCH($C104,Produtos!$A$4:$A$103,0))&lt;&gt;"Ativo",TRUE),IFERROR(INDEX(Produtos!$L$4:$L$103,MATCH($C104,Produtos!$A$4:$A$103,0))&lt;&gt;"OK",TRUE),COUNTIF(Regras!$A$4:$A$103,$D104)&lt;&gt;1,IFERROR(INDEX(Regras!$O$4:$O$103,MATCH($D104,Regras!$A$4:$A$103,0))&lt;&gt;"Sim",TRUE),IFERROR(INDEX(Regras!$P$4:$P$103,MATCH($D104,Regras!$A$4:$A$103,0))&lt;&gt;"OK",TRUE),NOT(ISNUMBER($E104)),$E104&lt;=0,NOT(ISNUMBER($F104)),$F104&lt;0,$F104&gt;5,NOT(ISNUMBER($H104)),$H104&lt;0,$H104&lt;&gt;INT($H104),AND($G104&lt;&gt;"",OR(NOT(ISNUMBER($G104)),$G104&lt;=0))),"Revisar","Pronta")))</f>
        <v/>
      </c>
    </row>
    <row r="105">
      <c r="A105" s="16" t="n"/>
      <c r="B105" s="24" t="n"/>
      <c r="C105" s="16" t="n"/>
      <c r="D105" s="16" t="n"/>
      <c r="E105" s="17" t="n"/>
      <c r="F105" s="18" t="n"/>
      <c r="G105" s="17" t="n"/>
      <c r="H105" s="20" t="n"/>
      <c r="I105" s="16" t="n"/>
      <c r="J105" s="17" t="n"/>
      <c r="K105" s="25" t="n"/>
      <c r="L105" s="26">
        <f>IF($C105="","",IFERROR(INDEX(Produtos!$B$4:$B$103,MATCH($C105,Produtos!$A$4:$A$103,0)),""))</f>
        <v/>
      </c>
      <c r="M105" s="26">
        <f>IF($C105="","",IFERROR(INDEX(Produtos!$C$4:$C$103,MATCH($C105,Produtos!$A$4:$A$103,0)),""))</f>
        <v/>
      </c>
      <c r="N105" s="19">
        <f>IF($C105="","",IFERROR(INDEX(Produtos!$D$4:$D$103,MATCH($C105,Produtos!$A$4:$A$103,0)),""))</f>
        <v/>
      </c>
      <c r="O105" s="27">
        <f>IF($C105="","",IFERROR(INDEX(Produtos!$E$4:$E$103,MATCH($C105,Produtos!$A$4:$A$103,0)),""))</f>
        <v/>
      </c>
      <c r="P105" s="19">
        <f>IF($C105="","",IFERROR(INDEX(Produtos!$G$4:$G$103,MATCH($C105,Produtos!$A$4:$A$103,0)),""))</f>
        <v/>
      </c>
      <c r="Q105" s="19">
        <f>IF($C105="","",IFERROR(INDEX(Produtos!$H$4:$H$103,MATCH($C105,Produtos!$A$4:$A$103,0)),""))</f>
        <v/>
      </c>
      <c r="R105" s="19">
        <f>IF($C105="","",IFERROR(INDEX(Produtos!$I$4:$I$103,MATCH($C105,Produtos!$A$4:$A$103,0)),""))</f>
        <v/>
      </c>
      <c r="S105" s="28">
        <f>IF($C105="","",IFERROR(INDEX(Produtos!$J$4:$J$103,MATCH($C105,Produtos!$A$4:$A$103,0)),""))</f>
        <v/>
      </c>
      <c r="T105" s="27">
        <f>IF($AG105&lt;&gt;"Pronta","",IFERROR(IF($F105&lt;=INDEX(Regras!$C$4:$C$103,MATCH($D105,Regras!$A$4:$A$103,0)),INDEX(Regras!$E$4:$E$103,MATCH($D105,Regras!$A$4:$A$103,0)),IF($F105&gt;=INDEX(Regras!$D$4:$D$103,MATCH($D105,Regras!$A$4:$A$103,0)),INDEX(Regras!$F$4:$F$103,MATCH($D105,Regras!$A$4:$A$103,0)),0)),""))</f>
        <v/>
      </c>
      <c r="U105" s="27">
        <f>IF($AG105&lt;&gt;"Pronta","",IFERROR(IF($G105="",0,IF($G105&lt;=$E105*(1-INDEX(Regras!$G$4:$G$103,MATCH($D105,Regras!$A$4:$A$103,0))),INDEX(Regras!$H$4:$H$103,MATCH($D105,Regras!$A$4:$A$103,0)),IF($G105&gt;=$E105*(1+INDEX(Regras!$G$4:$G$103,MATCH($D105,Regras!$A$4:$A$103,0))),INDEX(Regras!$I$4:$I$103,MATCH($D105,Regras!$A$4:$A$103,0)),0))),""))</f>
        <v/>
      </c>
      <c r="V105" s="27">
        <f>IF($AG105&lt;&gt;"Pronta","",IFERROR(IF($H105/$S105&lt;=INDEX(Regras!$J$4:$J$103,MATCH($D105,Regras!$A$4:$A$103,0)),INDEX(Regras!$L$4:$L$103,MATCH($D105,Regras!$A$4:$A$103,0)),IF($H105/$S105&gt;=INDEX(Regras!$K$4:$K$103,MATCH($D105,Regras!$A$4:$A$103,0)),INDEX(Regras!$M$4:$M$103,MATCH($D105,Regras!$A$4:$A$103,0)),0)),""))</f>
        <v/>
      </c>
      <c r="W105" s="27">
        <f>IF($AG105&lt;&gt;"Pronta","",SUM($T105:$V105))</f>
        <v/>
      </c>
      <c r="X105" s="27">
        <f>IF($AG105&lt;&gt;"Pronta","",IFERROR(MAX(-INDEX(Regras!$N$4:$N$103,MATCH($D105,Regras!$A$4:$A$103,0)),MIN(INDEX(Regras!$N$4:$N$103,MATCH($D105,Regras!$A$4:$A$103,0)),$W105)),""))</f>
        <v/>
      </c>
      <c r="Y105" s="19">
        <f>IF($AG105&lt;&gt;"Pronta","",IFERROR(ROUND($E105*(1+$X105),2),""))</f>
        <v/>
      </c>
      <c r="Z105" s="29">
        <f>IF(OR($AG105&lt;&gt;"Pronta",$Q105="",$R105=""),"",IFERROR(ROUND(MIN($R105,MAX($Q105,$Y105)),2),""))</f>
        <v/>
      </c>
      <c r="AA105" s="27">
        <f>IF(OR($E105="",$Z105=""),"",IFERROR($Z105/$E105-1,""))</f>
        <v/>
      </c>
      <c r="AB105" s="26">
        <f>IF($Z105="","",IF($Y105&lt;$Q105,"Piso",IF($Y105&gt;$R105,"Teto","Nenhuma")))</f>
        <v/>
      </c>
      <c r="AC105" s="21">
        <f>IF($A105="","",IF($AG105&lt;&gt;"Pronta","Aguardando dados válidos",_xlfn.TEXTJOIN(" | ",TRUE,IF($T105&gt;0,"Demanda: aumento",IF($T105&lt;0,"Demanda: redução","")),IF($U105&gt;0,"Concorrência: aumento",IF($U105&lt;0,"Concorrência: redução","")),IF($V105&gt;0,"Estoque: aumento",IF($V105&lt;0,"Estoque: redução","")),IF(ABS($W105-$X105)&gt;0.0000001,"Limite da rodada aplicado",""),IF($AB105="Piso","Piso vigente aplicado",IF($AB105="Teto","Teto aplicado","")),IF(AND($T105=0,$U105=0,$V105=0),"Sem gatilho de reajuste",""))))</f>
        <v/>
      </c>
      <c r="AD105" s="21">
        <f>IF(OR($A105="",$AG105&lt;&gt;"Pronta"),"",_xlfn.TEXTJOIN(" | ",TRUE,IF($E105&lt;$Q105,"Preço atual abaixo do piso",""),IF($E105&gt;$R105,"Preço atual acima do teto",""),IF(AND($N105&gt;0,$E105&gt;0,1-$N105/$E105&lt;$O105),"Margem estimada do preço atual abaixo do mínimo",""),IF($G105="","Preço concorrente não informado",""),IF($AB105="Piso","Recomendação travada no piso",""),IF($AB105="Teto","Recomendação travada no teto","")))</f>
        <v/>
      </c>
      <c r="AE105" s="19">
        <f>IF($AG105&lt;&gt;"Pronta","",IF($I105="Aprovar recomendação",$Z105,IF($I105="Manter preço atual",$E105,IF($I105="Definir manualmente",$J105,""))))</f>
        <v/>
      </c>
      <c r="AF105" s="21">
        <f>IF($A105="","",IF($AG105&lt;&gt;"Pronta","Aguardando correção",IF(OR($I105="",$I105="Pendente"),"Decisão pendente",IF(AND($I105="Definir manualmente",OR($J105="",$J105&lt;=0)),"Informe o preço manual",IF(OR($AE105&lt;$Q105,$AE105&gt;$R105),"Preço final fora do piso/teto","OK")))))</f>
        <v/>
      </c>
      <c r="AG105" s="26">
        <f>IF(COUNTA($A105:$K105)=0,"",IF(OR($A105="",$B105="",$C105="",$D105="",$E105="",$F105="",$H105=""),"Incompleta",IF(OR(COUNTIF($A$5:$A$204,$A105)&gt;1,NOT(ISNUMBER($B105)),COUNTIF(Produtos!$A$4:$A$103,$C105)&lt;&gt;1,IFERROR(INDEX(Produtos!$K$4:$K$103,MATCH($C105,Produtos!$A$4:$A$103,0))&lt;&gt;"Ativo",TRUE),IFERROR(INDEX(Produtos!$L$4:$L$103,MATCH($C105,Produtos!$A$4:$A$103,0))&lt;&gt;"OK",TRUE),COUNTIF(Regras!$A$4:$A$103,$D105)&lt;&gt;1,IFERROR(INDEX(Regras!$O$4:$O$103,MATCH($D105,Regras!$A$4:$A$103,0))&lt;&gt;"Sim",TRUE),IFERROR(INDEX(Regras!$P$4:$P$103,MATCH($D105,Regras!$A$4:$A$103,0))&lt;&gt;"OK",TRUE),NOT(ISNUMBER($E105)),$E105&lt;=0,NOT(ISNUMBER($F105)),$F105&lt;0,$F105&gt;5,NOT(ISNUMBER($H105)),$H105&lt;0,$H105&lt;&gt;INT($H105),AND($G105&lt;&gt;"",OR(NOT(ISNUMBER($G105)),$G105&lt;=0))),"Revisar","Pronta")))</f>
        <v/>
      </c>
    </row>
    <row r="106">
      <c r="A106" s="16" t="n"/>
      <c r="B106" s="24" t="n"/>
      <c r="C106" s="16" t="n"/>
      <c r="D106" s="16" t="n"/>
      <c r="E106" s="17" t="n"/>
      <c r="F106" s="18" t="n"/>
      <c r="G106" s="17" t="n"/>
      <c r="H106" s="20" t="n"/>
      <c r="I106" s="16" t="n"/>
      <c r="J106" s="17" t="n"/>
      <c r="K106" s="25" t="n"/>
      <c r="L106" s="26">
        <f>IF($C106="","",IFERROR(INDEX(Produtos!$B$4:$B$103,MATCH($C106,Produtos!$A$4:$A$103,0)),""))</f>
        <v/>
      </c>
      <c r="M106" s="26">
        <f>IF($C106="","",IFERROR(INDEX(Produtos!$C$4:$C$103,MATCH($C106,Produtos!$A$4:$A$103,0)),""))</f>
        <v/>
      </c>
      <c r="N106" s="19">
        <f>IF($C106="","",IFERROR(INDEX(Produtos!$D$4:$D$103,MATCH($C106,Produtos!$A$4:$A$103,0)),""))</f>
        <v/>
      </c>
      <c r="O106" s="27">
        <f>IF($C106="","",IFERROR(INDEX(Produtos!$E$4:$E$103,MATCH($C106,Produtos!$A$4:$A$103,0)),""))</f>
        <v/>
      </c>
      <c r="P106" s="19">
        <f>IF($C106="","",IFERROR(INDEX(Produtos!$G$4:$G$103,MATCH($C106,Produtos!$A$4:$A$103,0)),""))</f>
        <v/>
      </c>
      <c r="Q106" s="19">
        <f>IF($C106="","",IFERROR(INDEX(Produtos!$H$4:$H$103,MATCH($C106,Produtos!$A$4:$A$103,0)),""))</f>
        <v/>
      </c>
      <c r="R106" s="19">
        <f>IF($C106="","",IFERROR(INDEX(Produtos!$I$4:$I$103,MATCH($C106,Produtos!$A$4:$A$103,0)),""))</f>
        <v/>
      </c>
      <c r="S106" s="28">
        <f>IF($C106="","",IFERROR(INDEX(Produtos!$J$4:$J$103,MATCH($C106,Produtos!$A$4:$A$103,0)),""))</f>
        <v/>
      </c>
      <c r="T106" s="27">
        <f>IF($AG106&lt;&gt;"Pronta","",IFERROR(IF($F106&lt;=INDEX(Regras!$C$4:$C$103,MATCH($D106,Regras!$A$4:$A$103,0)),INDEX(Regras!$E$4:$E$103,MATCH($D106,Regras!$A$4:$A$103,0)),IF($F106&gt;=INDEX(Regras!$D$4:$D$103,MATCH($D106,Regras!$A$4:$A$103,0)),INDEX(Regras!$F$4:$F$103,MATCH($D106,Regras!$A$4:$A$103,0)),0)),""))</f>
        <v/>
      </c>
      <c r="U106" s="27">
        <f>IF($AG106&lt;&gt;"Pronta","",IFERROR(IF($G106="",0,IF($G106&lt;=$E106*(1-INDEX(Regras!$G$4:$G$103,MATCH($D106,Regras!$A$4:$A$103,0))),INDEX(Regras!$H$4:$H$103,MATCH($D106,Regras!$A$4:$A$103,0)),IF($G106&gt;=$E106*(1+INDEX(Regras!$G$4:$G$103,MATCH($D106,Regras!$A$4:$A$103,0))),INDEX(Regras!$I$4:$I$103,MATCH($D106,Regras!$A$4:$A$103,0)),0))),""))</f>
        <v/>
      </c>
      <c r="V106" s="27">
        <f>IF($AG106&lt;&gt;"Pronta","",IFERROR(IF($H106/$S106&lt;=INDEX(Regras!$J$4:$J$103,MATCH($D106,Regras!$A$4:$A$103,0)),INDEX(Regras!$L$4:$L$103,MATCH($D106,Regras!$A$4:$A$103,0)),IF($H106/$S106&gt;=INDEX(Regras!$K$4:$K$103,MATCH($D106,Regras!$A$4:$A$103,0)),INDEX(Regras!$M$4:$M$103,MATCH($D106,Regras!$A$4:$A$103,0)),0)),""))</f>
        <v/>
      </c>
      <c r="W106" s="27">
        <f>IF($AG106&lt;&gt;"Pronta","",SUM($T106:$V106))</f>
        <v/>
      </c>
      <c r="X106" s="27">
        <f>IF($AG106&lt;&gt;"Pronta","",IFERROR(MAX(-INDEX(Regras!$N$4:$N$103,MATCH($D106,Regras!$A$4:$A$103,0)),MIN(INDEX(Regras!$N$4:$N$103,MATCH($D106,Regras!$A$4:$A$103,0)),$W106)),""))</f>
        <v/>
      </c>
      <c r="Y106" s="19">
        <f>IF($AG106&lt;&gt;"Pronta","",IFERROR(ROUND($E106*(1+$X106),2),""))</f>
        <v/>
      </c>
      <c r="Z106" s="29">
        <f>IF(OR($AG106&lt;&gt;"Pronta",$Q106="",$R106=""),"",IFERROR(ROUND(MIN($R106,MAX($Q106,$Y106)),2),""))</f>
        <v/>
      </c>
      <c r="AA106" s="27">
        <f>IF(OR($E106="",$Z106=""),"",IFERROR($Z106/$E106-1,""))</f>
        <v/>
      </c>
      <c r="AB106" s="26">
        <f>IF($Z106="","",IF($Y106&lt;$Q106,"Piso",IF($Y106&gt;$R106,"Teto","Nenhuma")))</f>
        <v/>
      </c>
      <c r="AC106" s="21">
        <f>IF($A106="","",IF($AG106&lt;&gt;"Pronta","Aguardando dados válidos",_xlfn.TEXTJOIN(" | ",TRUE,IF($T106&gt;0,"Demanda: aumento",IF($T106&lt;0,"Demanda: redução","")),IF($U106&gt;0,"Concorrência: aumento",IF($U106&lt;0,"Concorrência: redução","")),IF($V106&gt;0,"Estoque: aumento",IF($V106&lt;0,"Estoque: redução","")),IF(ABS($W106-$X106)&gt;0.0000001,"Limite da rodada aplicado",""),IF($AB106="Piso","Piso vigente aplicado",IF($AB106="Teto","Teto aplicado","")),IF(AND($T106=0,$U106=0,$V106=0),"Sem gatilho de reajuste",""))))</f>
        <v/>
      </c>
      <c r="AD106" s="21">
        <f>IF(OR($A106="",$AG106&lt;&gt;"Pronta"),"",_xlfn.TEXTJOIN(" | ",TRUE,IF($E106&lt;$Q106,"Preço atual abaixo do piso",""),IF($E106&gt;$R106,"Preço atual acima do teto",""),IF(AND($N106&gt;0,$E106&gt;0,1-$N106/$E106&lt;$O106),"Margem estimada do preço atual abaixo do mínimo",""),IF($G106="","Preço concorrente não informado",""),IF($AB106="Piso","Recomendação travada no piso",""),IF($AB106="Teto","Recomendação travada no teto","")))</f>
        <v/>
      </c>
      <c r="AE106" s="19">
        <f>IF($AG106&lt;&gt;"Pronta","",IF($I106="Aprovar recomendação",$Z106,IF($I106="Manter preço atual",$E106,IF($I106="Definir manualmente",$J106,""))))</f>
        <v/>
      </c>
      <c r="AF106" s="21">
        <f>IF($A106="","",IF($AG106&lt;&gt;"Pronta","Aguardando correção",IF(OR($I106="",$I106="Pendente"),"Decisão pendente",IF(AND($I106="Definir manualmente",OR($J106="",$J106&lt;=0)),"Informe o preço manual",IF(OR($AE106&lt;$Q106,$AE106&gt;$R106),"Preço final fora do piso/teto","OK")))))</f>
        <v/>
      </c>
      <c r="AG106" s="26">
        <f>IF(COUNTA($A106:$K106)=0,"",IF(OR($A106="",$B106="",$C106="",$D106="",$E106="",$F106="",$H106=""),"Incompleta",IF(OR(COUNTIF($A$5:$A$204,$A106)&gt;1,NOT(ISNUMBER($B106)),COUNTIF(Produtos!$A$4:$A$103,$C106)&lt;&gt;1,IFERROR(INDEX(Produtos!$K$4:$K$103,MATCH($C106,Produtos!$A$4:$A$103,0))&lt;&gt;"Ativo",TRUE),IFERROR(INDEX(Produtos!$L$4:$L$103,MATCH($C106,Produtos!$A$4:$A$103,0))&lt;&gt;"OK",TRUE),COUNTIF(Regras!$A$4:$A$103,$D106)&lt;&gt;1,IFERROR(INDEX(Regras!$O$4:$O$103,MATCH($D106,Regras!$A$4:$A$103,0))&lt;&gt;"Sim",TRUE),IFERROR(INDEX(Regras!$P$4:$P$103,MATCH($D106,Regras!$A$4:$A$103,0))&lt;&gt;"OK",TRUE),NOT(ISNUMBER($E106)),$E106&lt;=0,NOT(ISNUMBER($F106)),$F106&lt;0,$F106&gt;5,NOT(ISNUMBER($H106)),$H106&lt;0,$H106&lt;&gt;INT($H106),AND($G106&lt;&gt;"",OR(NOT(ISNUMBER($G106)),$G106&lt;=0))),"Revisar","Pronta")))</f>
        <v/>
      </c>
    </row>
    <row r="107">
      <c r="A107" s="16" t="n"/>
      <c r="B107" s="24" t="n"/>
      <c r="C107" s="16" t="n"/>
      <c r="D107" s="16" t="n"/>
      <c r="E107" s="17" t="n"/>
      <c r="F107" s="18" t="n"/>
      <c r="G107" s="17" t="n"/>
      <c r="H107" s="20" t="n"/>
      <c r="I107" s="16" t="n"/>
      <c r="J107" s="17" t="n"/>
      <c r="K107" s="25" t="n"/>
      <c r="L107" s="26">
        <f>IF($C107="","",IFERROR(INDEX(Produtos!$B$4:$B$103,MATCH($C107,Produtos!$A$4:$A$103,0)),""))</f>
        <v/>
      </c>
      <c r="M107" s="26">
        <f>IF($C107="","",IFERROR(INDEX(Produtos!$C$4:$C$103,MATCH($C107,Produtos!$A$4:$A$103,0)),""))</f>
        <v/>
      </c>
      <c r="N107" s="19">
        <f>IF($C107="","",IFERROR(INDEX(Produtos!$D$4:$D$103,MATCH($C107,Produtos!$A$4:$A$103,0)),""))</f>
        <v/>
      </c>
      <c r="O107" s="27">
        <f>IF($C107="","",IFERROR(INDEX(Produtos!$E$4:$E$103,MATCH($C107,Produtos!$A$4:$A$103,0)),""))</f>
        <v/>
      </c>
      <c r="P107" s="19">
        <f>IF($C107="","",IFERROR(INDEX(Produtos!$G$4:$G$103,MATCH($C107,Produtos!$A$4:$A$103,0)),""))</f>
        <v/>
      </c>
      <c r="Q107" s="19">
        <f>IF($C107="","",IFERROR(INDEX(Produtos!$H$4:$H$103,MATCH($C107,Produtos!$A$4:$A$103,0)),""))</f>
        <v/>
      </c>
      <c r="R107" s="19">
        <f>IF($C107="","",IFERROR(INDEX(Produtos!$I$4:$I$103,MATCH($C107,Produtos!$A$4:$A$103,0)),""))</f>
        <v/>
      </c>
      <c r="S107" s="28">
        <f>IF($C107="","",IFERROR(INDEX(Produtos!$J$4:$J$103,MATCH($C107,Produtos!$A$4:$A$103,0)),""))</f>
        <v/>
      </c>
      <c r="T107" s="27">
        <f>IF($AG107&lt;&gt;"Pronta","",IFERROR(IF($F107&lt;=INDEX(Regras!$C$4:$C$103,MATCH($D107,Regras!$A$4:$A$103,0)),INDEX(Regras!$E$4:$E$103,MATCH($D107,Regras!$A$4:$A$103,0)),IF($F107&gt;=INDEX(Regras!$D$4:$D$103,MATCH($D107,Regras!$A$4:$A$103,0)),INDEX(Regras!$F$4:$F$103,MATCH($D107,Regras!$A$4:$A$103,0)),0)),""))</f>
        <v/>
      </c>
      <c r="U107" s="27">
        <f>IF($AG107&lt;&gt;"Pronta","",IFERROR(IF($G107="",0,IF($G107&lt;=$E107*(1-INDEX(Regras!$G$4:$G$103,MATCH($D107,Regras!$A$4:$A$103,0))),INDEX(Regras!$H$4:$H$103,MATCH($D107,Regras!$A$4:$A$103,0)),IF($G107&gt;=$E107*(1+INDEX(Regras!$G$4:$G$103,MATCH($D107,Regras!$A$4:$A$103,0))),INDEX(Regras!$I$4:$I$103,MATCH($D107,Regras!$A$4:$A$103,0)),0))),""))</f>
        <v/>
      </c>
      <c r="V107" s="27">
        <f>IF($AG107&lt;&gt;"Pronta","",IFERROR(IF($H107/$S107&lt;=INDEX(Regras!$J$4:$J$103,MATCH($D107,Regras!$A$4:$A$103,0)),INDEX(Regras!$L$4:$L$103,MATCH($D107,Regras!$A$4:$A$103,0)),IF($H107/$S107&gt;=INDEX(Regras!$K$4:$K$103,MATCH($D107,Regras!$A$4:$A$103,0)),INDEX(Regras!$M$4:$M$103,MATCH($D107,Regras!$A$4:$A$103,0)),0)),""))</f>
        <v/>
      </c>
      <c r="W107" s="27">
        <f>IF($AG107&lt;&gt;"Pronta","",SUM($T107:$V107))</f>
        <v/>
      </c>
      <c r="X107" s="27">
        <f>IF($AG107&lt;&gt;"Pronta","",IFERROR(MAX(-INDEX(Regras!$N$4:$N$103,MATCH($D107,Regras!$A$4:$A$103,0)),MIN(INDEX(Regras!$N$4:$N$103,MATCH($D107,Regras!$A$4:$A$103,0)),$W107)),""))</f>
        <v/>
      </c>
      <c r="Y107" s="19">
        <f>IF($AG107&lt;&gt;"Pronta","",IFERROR(ROUND($E107*(1+$X107),2),""))</f>
        <v/>
      </c>
      <c r="Z107" s="29">
        <f>IF(OR($AG107&lt;&gt;"Pronta",$Q107="",$R107=""),"",IFERROR(ROUND(MIN($R107,MAX($Q107,$Y107)),2),""))</f>
        <v/>
      </c>
      <c r="AA107" s="27">
        <f>IF(OR($E107="",$Z107=""),"",IFERROR($Z107/$E107-1,""))</f>
        <v/>
      </c>
      <c r="AB107" s="26">
        <f>IF($Z107="","",IF($Y107&lt;$Q107,"Piso",IF($Y107&gt;$R107,"Teto","Nenhuma")))</f>
        <v/>
      </c>
      <c r="AC107" s="21">
        <f>IF($A107="","",IF($AG107&lt;&gt;"Pronta","Aguardando dados válidos",_xlfn.TEXTJOIN(" | ",TRUE,IF($T107&gt;0,"Demanda: aumento",IF($T107&lt;0,"Demanda: redução","")),IF($U107&gt;0,"Concorrência: aumento",IF($U107&lt;0,"Concorrência: redução","")),IF($V107&gt;0,"Estoque: aumento",IF($V107&lt;0,"Estoque: redução","")),IF(ABS($W107-$X107)&gt;0.0000001,"Limite da rodada aplicado",""),IF($AB107="Piso","Piso vigente aplicado",IF($AB107="Teto","Teto aplicado","")),IF(AND($T107=0,$U107=0,$V107=0),"Sem gatilho de reajuste",""))))</f>
        <v/>
      </c>
      <c r="AD107" s="21">
        <f>IF(OR($A107="",$AG107&lt;&gt;"Pronta"),"",_xlfn.TEXTJOIN(" | ",TRUE,IF($E107&lt;$Q107,"Preço atual abaixo do piso",""),IF($E107&gt;$R107,"Preço atual acima do teto",""),IF(AND($N107&gt;0,$E107&gt;0,1-$N107/$E107&lt;$O107),"Margem estimada do preço atual abaixo do mínimo",""),IF($G107="","Preço concorrente não informado",""),IF($AB107="Piso","Recomendação travada no piso",""),IF($AB107="Teto","Recomendação travada no teto","")))</f>
        <v/>
      </c>
      <c r="AE107" s="19">
        <f>IF($AG107&lt;&gt;"Pronta","",IF($I107="Aprovar recomendação",$Z107,IF($I107="Manter preço atual",$E107,IF($I107="Definir manualmente",$J107,""))))</f>
        <v/>
      </c>
      <c r="AF107" s="21">
        <f>IF($A107="","",IF($AG107&lt;&gt;"Pronta","Aguardando correção",IF(OR($I107="",$I107="Pendente"),"Decisão pendente",IF(AND($I107="Definir manualmente",OR($J107="",$J107&lt;=0)),"Informe o preço manual",IF(OR($AE107&lt;$Q107,$AE107&gt;$R107),"Preço final fora do piso/teto","OK")))))</f>
        <v/>
      </c>
      <c r="AG107" s="26">
        <f>IF(COUNTA($A107:$K107)=0,"",IF(OR($A107="",$B107="",$C107="",$D107="",$E107="",$F107="",$H107=""),"Incompleta",IF(OR(COUNTIF($A$5:$A$204,$A107)&gt;1,NOT(ISNUMBER($B107)),COUNTIF(Produtos!$A$4:$A$103,$C107)&lt;&gt;1,IFERROR(INDEX(Produtos!$K$4:$K$103,MATCH($C107,Produtos!$A$4:$A$103,0))&lt;&gt;"Ativo",TRUE),IFERROR(INDEX(Produtos!$L$4:$L$103,MATCH($C107,Produtos!$A$4:$A$103,0))&lt;&gt;"OK",TRUE),COUNTIF(Regras!$A$4:$A$103,$D107)&lt;&gt;1,IFERROR(INDEX(Regras!$O$4:$O$103,MATCH($D107,Regras!$A$4:$A$103,0))&lt;&gt;"Sim",TRUE),IFERROR(INDEX(Regras!$P$4:$P$103,MATCH($D107,Regras!$A$4:$A$103,0))&lt;&gt;"OK",TRUE),NOT(ISNUMBER($E107)),$E107&lt;=0,NOT(ISNUMBER($F107)),$F107&lt;0,$F107&gt;5,NOT(ISNUMBER($H107)),$H107&lt;0,$H107&lt;&gt;INT($H107),AND($G107&lt;&gt;"",OR(NOT(ISNUMBER($G107)),$G107&lt;=0))),"Revisar","Pronta")))</f>
        <v/>
      </c>
    </row>
    <row r="108">
      <c r="A108" s="16" t="n"/>
      <c r="B108" s="24" t="n"/>
      <c r="C108" s="16" t="n"/>
      <c r="D108" s="16" t="n"/>
      <c r="E108" s="17" t="n"/>
      <c r="F108" s="18" t="n"/>
      <c r="G108" s="17" t="n"/>
      <c r="H108" s="20" t="n"/>
      <c r="I108" s="16" t="n"/>
      <c r="J108" s="17" t="n"/>
      <c r="K108" s="25" t="n"/>
      <c r="L108" s="26">
        <f>IF($C108="","",IFERROR(INDEX(Produtos!$B$4:$B$103,MATCH($C108,Produtos!$A$4:$A$103,0)),""))</f>
        <v/>
      </c>
      <c r="M108" s="26">
        <f>IF($C108="","",IFERROR(INDEX(Produtos!$C$4:$C$103,MATCH($C108,Produtos!$A$4:$A$103,0)),""))</f>
        <v/>
      </c>
      <c r="N108" s="19">
        <f>IF($C108="","",IFERROR(INDEX(Produtos!$D$4:$D$103,MATCH($C108,Produtos!$A$4:$A$103,0)),""))</f>
        <v/>
      </c>
      <c r="O108" s="27">
        <f>IF($C108="","",IFERROR(INDEX(Produtos!$E$4:$E$103,MATCH($C108,Produtos!$A$4:$A$103,0)),""))</f>
        <v/>
      </c>
      <c r="P108" s="19">
        <f>IF($C108="","",IFERROR(INDEX(Produtos!$G$4:$G$103,MATCH($C108,Produtos!$A$4:$A$103,0)),""))</f>
        <v/>
      </c>
      <c r="Q108" s="19">
        <f>IF($C108="","",IFERROR(INDEX(Produtos!$H$4:$H$103,MATCH($C108,Produtos!$A$4:$A$103,0)),""))</f>
        <v/>
      </c>
      <c r="R108" s="19">
        <f>IF($C108="","",IFERROR(INDEX(Produtos!$I$4:$I$103,MATCH($C108,Produtos!$A$4:$A$103,0)),""))</f>
        <v/>
      </c>
      <c r="S108" s="28">
        <f>IF($C108="","",IFERROR(INDEX(Produtos!$J$4:$J$103,MATCH($C108,Produtos!$A$4:$A$103,0)),""))</f>
        <v/>
      </c>
      <c r="T108" s="27">
        <f>IF($AG108&lt;&gt;"Pronta","",IFERROR(IF($F108&lt;=INDEX(Regras!$C$4:$C$103,MATCH($D108,Regras!$A$4:$A$103,0)),INDEX(Regras!$E$4:$E$103,MATCH($D108,Regras!$A$4:$A$103,0)),IF($F108&gt;=INDEX(Regras!$D$4:$D$103,MATCH($D108,Regras!$A$4:$A$103,0)),INDEX(Regras!$F$4:$F$103,MATCH($D108,Regras!$A$4:$A$103,0)),0)),""))</f>
        <v/>
      </c>
      <c r="U108" s="27">
        <f>IF($AG108&lt;&gt;"Pronta","",IFERROR(IF($G108="",0,IF($G108&lt;=$E108*(1-INDEX(Regras!$G$4:$G$103,MATCH($D108,Regras!$A$4:$A$103,0))),INDEX(Regras!$H$4:$H$103,MATCH($D108,Regras!$A$4:$A$103,0)),IF($G108&gt;=$E108*(1+INDEX(Regras!$G$4:$G$103,MATCH($D108,Regras!$A$4:$A$103,0))),INDEX(Regras!$I$4:$I$103,MATCH($D108,Regras!$A$4:$A$103,0)),0))),""))</f>
        <v/>
      </c>
      <c r="V108" s="27">
        <f>IF($AG108&lt;&gt;"Pronta","",IFERROR(IF($H108/$S108&lt;=INDEX(Regras!$J$4:$J$103,MATCH($D108,Regras!$A$4:$A$103,0)),INDEX(Regras!$L$4:$L$103,MATCH($D108,Regras!$A$4:$A$103,0)),IF($H108/$S108&gt;=INDEX(Regras!$K$4:$K$103,MATCH($D108,Regras!$A$4:$A$103,0)),INDEX(Regras!$M$4:$M$103,MATCH($D108,Regras!$A$4:$A$103,0)),0)),""))</f>
        <v/>
      </c>
      <c r="W108" s="27">
        <f>IF($AG108&lt;&gt;"Pronta","",SUM($T108:$V108))</f>
        <v/>
      </c>
      <c r="X108" s="27">
        <f>IF($AG108&lt;&gt;"Pronta","",IFERROR(MAX(-INDEX(Regras!$N$4:$N$103,MATCH($D108,Regras!$A$4:$A$103,0)),MIN(INDEX(Regras!$N$4:$N$103,MATCH($D108,Regras!$A$4:$A$103,0)),$W108)),""))</f>
        <v/>
      </c>
      <c r="Y108" s="19">
        <f>IF($AG108&lt;&gt;"Pronta","",IFERROR(ROUND($E108*(1+$X108),2),""))</f>
        <v/>
      </c>
      <c r="Z108" s="29">
        <f>IF(OR($AG108&lt;&gt;"Pronta",$Q108="",$R108=""),"",IFERROR(ROUND(MIN($R108,MAX($Q108,$Y108)),2),""))</f>
        <v/>
      </c>
      <c r="AA108" s="27">
        <f>IF(OR($E108="",$Z108=""),"",IFERROR($Z108/$E108-1,""))</f>
        <v/>
      </c>
      <c r="AB108" s="26">
        <f>IF($Z108="","",IF($Y108&lt;$Q108,"Piso",IF($Y108&gt;$R108,"Teto","Nenhuma")))</f>
        <v/>
      </c>
      <c r="AC108" s="21">
        <f>IF($A108="","",IF($AG108&lt;&gt;"Pronta","Aguardando dados válidos",_xlfn.TEXTJOIN(" | ",TRUE,IF($T108&gt;0,"Demanda: aumento",IF($T108&lt;0,"Demanda: redução","")),IF($U108&gt;0,"Concorrência: aumento",IF($U108&lt;0,"Concorrência: redução","")),IF($V108&gt;0,"Estoque: aumento",IF($V108&lt;0,"Estoque: redução","")),IF(ABS($W108-$X108)&gt;0.0000001,"Limite da rodada aplicado",""),IF($AB108="Piso","Piso vigente aplicado",IF($AB108="Teto","Teto aplicado","")),IF(AND($T108=0,$U108=0,$V108=0),"Sem gatilho de reajuste",""))))</f>
        <v/>
      </c>
      <c r="AD108" s="21">
        <f>IF(OR($A108="",$AG108&lt;&gt;"Pronta"),"",_xlfn.TEXTJOIN(" | ",TRUE,IF($E108&lt;$Q108,"Preço atual abaixo do piso",""),IF($E108&gt;$R108,"Preço atual acima do teto",""),IF(AND($N108&gt;0,$E108&gt;0,1-$N108/$E108&lt;$O108),"Margem estimada do preço atual abaixo do mínimo",""),IF($G108="","Preço concorrente não informado",""),IF($AB108="Piso","Recomendação travada no piso",""),IF($AB108="Teto","Recomendação travada no teto","")))</f>
        <v/>
      </c>
      <c r="AE108" s="19">
        <f>IF($AG108&lt;&gt;"Pronta","",IF($I108="Aprovar recomendação",$Z108,IF($I108="Manter preço atual",$E108,IF($I108="Definir manualmente",$J108,""))))</f>
        <v/>
      </c>
      <c r="AF108" s="21">
        <f>IF($A108="","",IF($AG108&lt;&gt;"Pronta","Aguardando correção",IF(OR($I108="",$I108="Pendente"),"Decisão pendente",IF(AND($I108="Definir manualmente",OR($J108="",$J108&lt;=0)),"Informe o preço manual",IF(OR($AE108&lt;$Q108,$AE108&gt;$R108),"Preço final fora do piso/teto","OK")))))</f>
        <v/>
      </c>
      <c r="AG108" s="26">
        <f>IF(COUNTA($A108:$K108)=0,"",IF(OR($A108="",$B108="",$C108="",$D108="",$E108="",$F108="",$H108=""),"Incompleta",IF(OR(COUNTIF($A$5:$A$204,$A108)&gt;1,NOT(ISNUMBER($B108)),COUNTIF(Produtos!$A$4:$A$103,$C108)&lt;&gt;1,IFERROR(INDEX(Produtos!$K$4:$K$103,MATCH($C108,Produtos!$A$4:$A$103,0))&lt;&gt;"Ativo",TRUE),IFERROR(INDEX(Produtos!$L$4:$L$103,MATCH($C108,Produtos!$A$4:$A$103,0))&lt;&gt;"OK",TRUE),COUNTIF(Regras!$A$4:$A$103,$D108)&lt;&gt;1,IFERROR(INDEX(Regras!$O$4:$O$103,MATCH($D108,Regras!$A$4:$A$103,0))&lt;&gt;"Sim",TRUE),IFERROR(INDEX(Regras!$P$4:$P$103,MATCH($D108,Regras!$A$4:$A$103,0))&lt;&gt;"OK",TRUE),NOT(ISNUMBER($E108)),$E108&lt;=0,NOT(ISNUMBER($F108)),$F108&lt;0,$F108&gt;5,NOT(ISNUMBER($H108)),$H108&lt;0,$H108&lt;&gt;INT($H108),AND($G108&lt;&gt;"",OR(NOT(ISNUMBER($G108)),$G108&lt;=0))),"Revisar","Pronta")))</f>
        <v/>
      </c>
    </row>
    <row r="109">
      <c r="A109" s="16" t="n"/>
      <c r="B109" s="24" t="n"/>
      <c r="C109" s="16" t="n"/>
      <c r="D109" s="16" t="n"/>
      <c r="E109" s="17" t="n"/>
      <c r="F109" s="18" t="n"/>
      <c r="G109" s="17" t="n"/>
      <c r="H109" s="20" t="n"/>
      <c r="I109" s="16" t="n"/>
      <c r="J109" s="17" t="n"/>
      <c r="K109" s="25" t="n"/>
      <c r="L109" s="26">
        <f>IF($C109="","",IFERROR(INDEX(Produtos!$B$4:$B$103,MATCH($C109,Produtos!$A$4:$A$103,0)),""))</f>
        <v/>
      </c>
      <c r="M109" s="26">
        <f>IF($C109="","",IFERROR(INDEX(Produtos!$C$4:$C$103,MATCH($C109,Produtos!$A$4:$A$103,0)),""))</f>
        <v/>
      </c>
      <c r="N109" s="19">
        <f>IF($C109="","",IFERROR(INDEX(Produtos!$D$4:$D$103,MATCH($C109,Produtos!$A$4:$A$103,0)),""))</f>
        <v/>
      </c>
      <c r="O109" s="27">
        <f>IF($C109="","",IFERROR(INDEX(Produtos!$E$4:$E$103,MATCH($C109,Produtos!$A$4:$A$103,0)),""))</f>
        <v/>
      </c>
      <c r="P109" s="19">
        <f>IF($C109="","",IFERROR(INDEX(Produtos!$G$4:$G$103,MATCH($C109,Produtos!$A$4:$A$103,0)),""))</f>
        <v/>
      </c>
      <c r="Q109" s="19">
        <f>IF($C109="","",IFERROR(INDEX(Produtos!$H$4:$H$103,MATCH($C109,Produtos!$A$4:$A$103,0)),""))</f>
        <v/>
      </c>
      <c r="R109" s="19">
        <f>IF($C109="","",IFERROR(INDEX(Produtos!$I$4:$I$103,MATCH($C109,Produtos!$A$4:$A$103,0)),""))</f>
        <v/>
      </c>
      <c r="S109" s="28">
        <f>IF($C109="","",IFERROR(INDEX(Produtos!$J$4:$J$103,MATCH($C109,Produtos!$A$4:$A$103,0)),""))</f>
        <v/>
      </c>
      <c r="T109" s="27">
        <f>IF($AG109&lt;&gt;"Pronta","",IFERROR(IF($F109&lt;=INDEX(Regras!$C$4:$C$103,MATCH($D109,Regras!$A$4:$A$103,0)),INDEX(Regras!$E$4:$E$103,MATCH($D109,Regras!$A$4:$A$103,0)),IF($F109&gt;=INDEX(Regras!$D$4:$D$103,MATCH($D109,Regras!$A$4:$A$103,0)),INDEX(Regras!$F$4:$F$103,MATCH($D109,Regras!$A$4:$A$103,0)),0)),""))</f>
        <v/>
      </c>
      <c r="U109" s="27">
        <f>IF($AG109&lt;&gt;"Pronta","",IFERROR(IF($G109="",0,IF($G109&lt;=$E109*(1-INDEX(Regras!$G$4:$G$103,MATCH($D109,Regras!$A$4:$A$103,0))),INDEX(Regras!$H$4:$H$103,MATCH($D109,Regras!$A$4:$A$103,0)),IF($G109&gt;=$E109*(1+INDEX(Regras!$G$4:$G$103,MATCH($D109,Regras!$A$4:$A$103,0))),INDEX(Regras!$I$4:$I$103,MATCH($D109,Regras!$A$4:$A$103,0)),0))),""))</f>
        <v/>
      </c>
      <c r="V109" s="27">
        <f>IF($AG109&lt;&gt;"Pronta","",IFERROR(IF($H109/$S109&lt;=INDEX(Regras!$J$4:$J$103,MATCH($D109,Regras!$A$4:$A$103,0)),INDEX(Regras!$L$4:$L$103,MATCH($D109,Regras!$A$4:$A$103,0)),IF($H109/$S109&gt;=INDEX(Regras!$K$4:$K$103,MATCH($D109,Regras!$A$4:$A$103,0)),INDEX(Regras!$M$4:$M$103,MATCH($D109,Regras!$A$4:$A$103,0)),0)),""))</f>
        <v/>
      </c>
      <c r="W109" s="27">
        <f>IF($AG109&lt;&gt;"Pronta","",SUM($T109:$V109))</f>
        <v/>
      </c>
      <c r="X109" s="27">
        <f>IF($AG109&lt;&gt;"Pronta","",IFERROR(MAX(-INDEX(Regras!$N$4:$N$103,MATCH($D109,Regras!$A$4:$A$103,0)),MIN(INDEX(Regras!$N$4:$N$103,MATCH($D109,Regras!$A$4:$A$103,0)),$W109)),""))</f>
        <v/>
      </c>
      <c r="Y109" s="19">
        <f>IF($AG109&lt;&gt;"Pronta","",IFERROR(ROUND($E109*(1+$X109),2),""))</f>
        <v/>
      </c>
      <c r="Z109" s="29">
        <f>IF(OR($AG109&lt;&gt;"Pronta",$Q109="",$R109=""),"",IFERROR(ROUND(MIN($R109,MAX($Q109,$Y109)),2),""))</f>
        <v/>
      </c>
      <c r="AA109" s="27">
        <f>IF(OR($E109="",$Z109=""),"",IFERROR($Z109/$E109-1,""))</f>
        <v/>
      </c>
      <c r="AB109" s="26">
        <f>IF($Z109="","",IF($Y109&lt;$Q109,"Piso",IF($Y109&gt;$R109,"Teto","Nenhuma")))</f>
        <v/>
      </c>
      <c r="AC109" s="21">
        <f>IF($A109="","",IF($AG109&lt;&gt;"Pronta","Aguardando dados válidos",_xlfn.TEXTJOIN(" | ",TRUE,IF($T109&gt;0,"Demanda: aumento",IF($T109&lt;0,"Demanda: redução","")),IF($U109&gt;0,"Concorrência: aumento",IF($U109&lt;0,"Concorrência: redução","")),IF($V109&gt;0,"Estoque: aumento",IF($V109&lt;0,"Estoque: redução","")),IF(ABS($W109-$X109)&gt;0.0000001,"Limite da rodada aplicado",""),IF($AB109="Piso","Piso vigente aplicado",IF($AB109="Teto","Teto aplicado","")),IF(AND($T109=0,$U109=0,$V109=0),"Sem gatilho de reajuste",""))))</f>
        <v/>
      </c>
      <c r="AD109" s="21">
        <f>IF(OR($A109="",$AG109&lt;&gt;"Pronta"),"",_xlfn.TEXTJOIN(" | ",TRUE,IF($E109&lt;$Q109,"Preço atual abaixo do piso",""),IF($E109&gt;$R109,"Preço atual acima do teto",""),IF(AND($N109&gt;0,$E109&gt;0,1-$N109/$E109&lt;$O109),"Margem estimada do preço atual abaixo do mínimo",""),IF($G109="","Preço concorrente não informado",""),IF($AB109="Piso","Recomendação travada no piso",""),IF($AB109="Teto","Recomendação travada no teto","")))</f>
        <v/>
      </c>
      <c r="AE109" s="19">
        <f>IF($AG109&lt;&gt;"Pronta","",IF($I109="Aprovar recomendação",$Z109,IF($I109="Manter preço atual",$E109,IF($I109="Definir manualmente",$J109,""))))</f>
        <v/>
      </c>
      <c r="AF109" s="21">
        <f>IF($A109="","",IF($AG109&lt;&gt;"Pronta","Aguardando correção",IF(OR($I109="",$I109="Pendente"),"Decisão pendente",IF(AND($I109="Definir manualmente",OR($J109="",$J109&lt;=0)),"Informe o preço manual",IF(OR($AE109&lt;$Q109,$AE109&gt;$R109),"Preço final fora do piso/teto","OK")))))</f>
        <v/>
      </c>
      <c r="AG109" s="26">
        <f>IF(COUNTA($A109:$K109)=0,"",IF(OR($A109="",$B109="",$C109="",$D109="",$E109="",$F109="",$H109=""),"Incompleta",IF(OR(COUNTIF($A$5:$A$204,$A109)&gt;1,NOT(ISNUMBER($B109)),COUNTIF(Produtos!$A$4:$A$103,$C109)&lt;&gt;1,IFERROR(INDEX(Produtos!$K$4:$K$103,MATCH($C109,Produtos!$A$4:$A$103,0))&lt;&gt;"Ativo",TRUE),IFERROR(INDEX(Produtos!$L$4:$L$103,MATCH($C109,Produtos!$A$4:$A$103,0))&lt;&gt;"OK",TRUE),COUNTIF(Regras!$A$4:$A$103,$D109)&lt;&gt;1,IFERROR(INDEX(Regras!$O$4:$O$103,MATCH($D109,Regras!$A$4:$A$103,0))&lt;&gt;"Sim",TRUE),IFERROR(INDEX(Regras!$P$4:$P$103,MATCH($D109,Regras!$A$4:$A$103,0))&lt;&gt;"OK",TRUE),NOT(ISNUMBER($E109)),$E109&lt;=0,NOT(ISNUMBER($F109)),$F109&lt;0,$F109&gt;5,NOT(ISNUMBER($H109)),$H109&lt;0,$H109&lt;&gt;INT($H109),AND($G109&lt;&gt;"",OR(NOT(ISNUMBER($G109)),$G109&lt;=0))),"Revisar","Pronta")))</f>
        <v/>
      </c>
    </row>
    <row r="110">
      <c r="A110" s="16" t="n"/>
      <c r="B110" s="24" t="n"/>
      <c r="C110" s="16" t="n"/>
      <c r="D110" s="16" t="n"/>
      <c r="E110" s="17" t="n"/>
      <c r="F110" s="18" t="n"/>
      <c r="G110" s="17" t="n"/>
      <c r="H110" s="20" t="n"/>
      <c r="I110" s="16" t="n"/>
      <c r="J110" s="17" t="n"/>
      <c r="K110" s="25" t="n"/>
      <c r="L110" s="26">
        <f>IF($C110="","",IFERROR(INDEX(Produtos!$B$4:$B$103,MATCH($C110,Produtos!$A$4:$A$103,0)),""))</f>
        <v/>
      </c>
      <c r="M110" s="26">
        <f>IF($C110="","",IFERROR(INDEX(Produtos!$C$4:$C$103,MATCH($C110,Produtos!$A$4:$A$103,0)),""))</f>
        <v/>
      </c>
      <c r="N110" s="19">
        <f>IF($C110="","",IFERROR(INDEX(Produtos!$D$4:$D$103,MATCH($C110,Produtos!$A$4:$A$103,0)),""))</f>
        <v/>
      </c>
      <c r="O110" s="27">
        <f>IF($C110="","",IFERROR(INDEX(Produtos!$E$4:$E$103,MATCH($C110,Produtos!$A$4:$A$103,0)),""))</f>
        <v/>
      </c>
      <c r="P110" s="19">
        <f>IF($C110="","",IFERROR(INDEX(Produtos!$G$4:$G$103,MATCH($C110,Produtos!$A$4:$A$103,0)),""))</f>
        <v/>
      </c>
      <c r="Q110" s="19">
        <f>IF($C110="","",IFERROR(INDEX(Produtos!$H$4:$H$103,MATCH($C110,Produtos!$A$4:$A$103,0)),""))</f>
        <v/>
      </c>
      <c r="R110" s="19">
        <f>IF($C110="","",IFERROR(INDEX(Produtos!$I$4:$I$103,MATCH($C110,Produtos!$A$4:$A$103,0)),""))</f>
        <v/>
      </c>
      <c r="S110" s="28">
        <f>IF($C110="","",IFERROR(INDEX(Produtos!$J$4:$J$103,MATCH($C110,Produtos!$A$4:$A$103,0)),""))</f>
        <v/>
      </c>
      <c r="T110" s="27">
        <f>IF($AG110&lt;&gt;"Pronta","",IFERROR(IF($F110&lt;=INDEX(Regras!$C$4:$C$103,MATCH($D110,Regras!$A$4:$A$103,0)),INDEX(Regras!$E$4:$E$103,MATCH($D110,Regras!$A$4:$A$103,0)),IF($F110&gt;=INDEX(Regras!$D$4:$D$103,MATCH($D110,Regras!$A$4:$A$103,0)),INDEX(Regras!$F$4:$F$103,MATCH($D110,Regras!$A$4:$A$103,0)),0)),""))</f>
        <v/>
      </c>
      <c r="U110" s="27">
        <f>IF($AG110&lt;&gt;"Pronta","",IFERROR(IF($G110="",0,IF($G110&lt;=$E110*(1-INDEX(Regras!$G$4:$G$103,MATCH($D110,Regras!$A$4:$A$103,0))),INDEX(Regras!$H$4:$H$103,MATCH($D110,Regras!$A$4:$A$103,0)),IF($G110&gt;=$E110*(1+INDEX(Regras!$G$4:$G$103,MATCH($D110,Regras!$A$4:$A$103,0))),INDEX(Regras!$I$4:$I$103,MATCH($D110,Regras!$A$4:$A$103,0)),0))),""))</f>
        <v/>
      </c>
      <c r="V110" s="27">
        <f>IF($AG110&lt;&gt;"Pronta","",IFERROR(IF($H110/$S110&lt;=INDEX(Regras!$J$4:$J$103,MATCH($D110,Regras!$A$4:$A$103,0)),INDEX(Regras!$L$4:$L$103,MATCH($D110,Regras!$A$4:$A$103,0)),IF($H110/$S110&gt;=INDEX(Regras!$K$4:$K$103,MATCH($D110,Regras!$A$4:$A$103,0)),INDEX(Regras!$M$4:$M$103,MATCH($D110,Regras!$A$4:$A$103,0)),0)),""))</f>
        <v/>
      </c>
      <c r="W110" s="27">
        <f>IF($AG110&lt;&gt;"Pronta","",SUM($T110:$V110))</f>
        <v/>
      </c>
      <c r="X110" s="27">
        <f>IF($AG110&lt;&gt;"Pronta","",IFERROR(MAX(-INDEX(Regras!$N$4:$N$103,MATCH($D110,Regras!$A$4:$A$103,0)),MIN(INDEX(Regras!$N$4:$N$103,MATCH($D110,Regras!$A$4:$A$103,0)),$W110)),""))</f>
        <v/>
      </c>
      <c r="Y110" s="19">
        <f>IF($AG110&lt;&gt;"Pronta","",IFERROR(ROUND($E110*(1+$X110),2),""))</f>
        <v/>
      </c>
      <c r="Z110" s="29">
        <f>IF(OR($AG110&lt;&gt;"Pronta",$Q110="",$R110=""),"",IFERROR(ROUND(MIN($R110,MAX($Q110,$Y110)),2),""))</f>
        <v/>
      </c>
      <c r="AA110" s="27">
        <f>IF(OR($E110="",$Z110=""),"",IFERROR($Z110/$E110-1,""))</f>
        <v/>
      </c>
      <c r="AB110" s="26">
        <f>IF($Z110="","",IF($Y110&lt;$Q110,"Piso",IF($Y110&gt;$R110,"Teto","Nenhuma")))</f>
        <v/>
      </c>
      <c r="AC110" s="21">
        <f>IF($A110="","",IF($AG110&lt;&gt;"Pronta","Aguardando dados válidos",_xlfn.TEXTJOIN(" | ",TRUE,IF($T110&gt;0,"Demanda: aumento",IF($T110&lt;0,"Demanda: redução","")),IF($U110&gt;0,"Concorrência: aumento",IF($U110&lt;0,"Concorrência: redução","")),IF($V110&gt;0,"Estoque: aumento",IF($V110&lt;0,"Estoque: redução","")),IF(ABS($W110-$X110)&gt;0.0000001,"Limite da rodada aplicado",""),IF($AB110="Piso","Piso vigente aplicado",IF($AB110="Teto","Teto aplicado","")),IF(AND($T110=0,$U110=0,$V110=0),"Sem gatilho de reajuste",""))))</f>
        <v/>
      </c>
      <c r="AD110" s="21">
        <f>IF(OR($A110="",$AG110&lt;&gt;"Pronta"),"",_xlfn.TEXTJOIN(" | ",TRUE,IF($E110&lt;$Q110,"Preço atual abaixo do piso",""),IF($E110&gt;$R110,"Preço atual acima do teto",""),IF(AND($N110&gt;0,$E110&gt;0,1-$N110/$E110&lt;$O110),"Margem estimada do preço atual abaixo do mínimo",""),IF($G110="","Preço concorrente não informado",""),IF($AB110="Piso","Recomendação travada no piso",""),IF($AB110="Teto","Recomendação travada no teto","")))</f>
        <v/>
      </c>
      <c r="AE110" s="19">
        <f>IF($AG110&lt;&gt;"Pronta","",IF($I110="Aprovar recomendação",$Z110,IF($I110="Manter preço atual",$E110,IF($I110="Definir manualmente",$J110,""))))</f>
        <v/>
      </c>
      <c r="AF110" s="21">
        <f>IF($A110="","",IF($AG110&lt;&gt;"Pronta","Aguardando correção",IF(OR($I110="",$I110="Pendente"),"Decisão pendente",IF(AND($I110="Definir manualmente",OR($J110="",$J110&lt;=0)),"Informe o preço manual",IF(OR($AE110&lt;$Q110,$AE110&gt;$R110),"Preço final fora do piso/teto","OK")))))</f>
        <v/>
      </c>
      <c r="AG110" s="26">
        <f>IF(COUNTA($A110:$K110)=0,"",IF(OR($A110="",$B110="",$C110="",$D110="",$E110="",$F110="",$H110=""),"Incompleta",IF(OR(COUNTIF($A$5:$A$204,$A110)&gt;1,NOT(ISNUMBER($B110)),COUNTIF(Produtos!$A$4:$A$103,$C110)&lt;&gt;1,IFERROR(INDEX(Produtos!$K$4:$K$103,MATCH($C110,Produtos!$A$4:$A$103,0))&lt;&gt;"Ativo",TRUE),IFERROR(INDEX(Produtos!$L$4:$L$103,MATCH($C110,Produtos!$A$4:$A$103,0))&lt;&gt;"OK",TRUE),COUNTIF(Regras!$A$4:$A$103,$D110)&lt;&gt;1,IFERROR(INDEX(Regras!$O$4:$O$103,MATCH($D110,Regras!$A$4:$A$103,0))&lt;&gt;"Sim",TRUE),IFERROR(INDEX(Regras!$P$4:$P$103,MATCH($D110,Regras!$A$4:$A$103,0))&lt;&gt;"OK",TRUE),NOT(ISNUMBER($E110)),$E110&lt;=0,NOT(ISNUMBER($F110)),$F110&lt;0,$F110&gt;5,NOT(ISNUMBER($H110)),$H110&lt;0,$H110&lt;&gt;INT($H110),AND($G110&lt;&gt;"",OR(NOT(ISNUMBER($G110)),$G110&lt;=0))),"Revisar","Pronta")))</f>
        <v/>
      </c>
    </row>
    <row r="111">
      <c r="A111" s="16" t="n"/>
      <c r="B111" s="24" t="n"/>
      <c r="C111" s="16" t="n"/>
      <c r="D111" s="16" t="n"/>
      <c r="E111" s="17" t="n"/>
      <c r="F111" s="18" t="n"/>
      <c r="G111" s="17" t="n"/>
      <c r="H111" s="20" t="n"/>
      <c r="I111" s="16" t="n"/>
      <c r="J111" s="17" t="n"/>
      <c r="K111" s="25" t="n"/>
      <c r="L111" s="26">
        <f>IF($C111="","",IFERROR(INDEX(Produtos!$B$4:$B$103,MATCH($C111,Produtos!$A$4:$A$103,0)),""))</f>
        <v/>
      </c>
      <c r="M111" s="26">
        <f>IF($C111="","",IFERROR(INDEX(Produtos!$C$4:$C$103,MATCH($C111,Produtos!$A$4:$A$103,0)),""))</f>
        <v/>
      </c>
      <c r="N111" s="19">
        <f>IF($C111="","",IFERROR(INDEX(Produtos!$D$4:$D$103,MATCH($C111,Produtos!$A$4:$A$103,0)),""))</f>
        <v/>
      </c>
      <c r="O111" s="27">
        <f>IF($C111="","",IFERROR(INDEX(Produtos!$E$4:$E$103,MATCH($C111,Produtos!$A$4:$A$103,0)),""))</f>
        <v/>
      </c>
      <c r="P111" s="19">
        <f>IF($C111="","",IFERROR(INDEX(Produtos!$G$4:$G$103,MATCH($C111,Produtos!$A$4:$A$103,0)),""))</f>
        <v/>
      </c>
      <c r="Q111" s="19">
        <f>IF($C111="","",IFERROR(INDEX(Produtos!$H$4:$H$103,MATCH($C111,Produtos!$A$4:$A$103,0)),""))</f>
        <v/>
      </c>
      <c r="R111" s="19">
        <f>IF($C111="","",IFERROR(INDEX(Produtos!$I$4:$I$103,MATCH($C111,Produtos!$A$4:$A$103,0)),""))</f>
        <v/>
      </c>
      <c r="S111" s="28">
        <f>IF($C111="","",IFERROR(INDEX(Produtos!$J$4:$J$103,MATCH($C111,Produtos!$A$4:$A$103,0)),""))</f>
        <v/>
      </c>
      <c r="T111" s="27">
        <f>IF($AG111&lt;&gt;"Pronta","",IFERROR(IF($F111&lt;=INDEX(Regras!$C$4:$C$103,MATCH($D111,Regras!$A$4:$A$103,0)),INDEX(Regras!$E$4:$E$103,MATCH($D111,Regras!$A$4:$A$103,0)),IF($F111&gt;=INDEX(Regras!$D$4:$D$103,MATCH($D111,Regras!$A$4:$A$103,0)),INDEX(Regras!$F$4:$F$103,MATCH($D111,Regras!$A$4:$A$103,0)),0)),""))</f>
        <v/>
      </c>
      <c r="U111" s="27">
        <f>IF($AG111&lt;&gt;"Pronta","",IFERROR(IF($G111="",0,IF($G111&lt;=$E111*(1-INDEX(Regras!$G$4:$G$103,MATCH($D111,Regras!$A$4:$A$103,0))),INDEX(Regras!$H$4:$H$103,MATCH($D111,Regras!$A$4:$A$103,0)),IF($G111&gt;=$E111*(1+INDEX(Regras!$G$4:$G$103,MATCH($D111,Regras!$A$4:$A$103,0))),INDEX(Regras!$I$4:$I$103,MATCH($D111,Regras!$A$4:$A$103,0)),0))),""))</f>
        <v/>
      </c>
      <c r="V111" s="27">
        <f>IF($AG111&lt;&gt;"Pronta","",IFERROR(IF($H111/$S111&lt;=INDEX(Regras!$J$4:$J$103,MATCH($D111,Regras!$A$4:$A$103,0)),INDEX(Regras!$L$4:$L$103,MATCH($D111,Regras!$A$4:$A$103,0)),IF($H111/$S111&gt;=INDEX(Regras!$K$4:$K$103,MATCH($D111,Regras!$A$4:$A$103,0)),INDEX(Regras!$M$4:$M$103,MATCH($D111,Regras!$A$4:$A$103,0)),0)),""))</f>
        <v/>
      </c>
      <c r="W111" s="27">
        <f>IF($AG111&lt;&gt;"Pronta","",SUM($T111:$V111))</f>
        <v/>
      </c>
      <c r="X111" s="27">
        <f>IF($AG111&lt;&gt;"Pronta","",IFERROR(MAX(-INDEX(Regras!$N$4:$N$103,MATCH($D111,Regras!$A$4:$A$103,0)),MIN(INDEX(Regras!$N$4:$N$103,MATCH($D111,Regras!$A$4:$A$103,0)),$W111)),""))</f>
        <v/>
      </c>
      <c r="Y111" s="19">
        <f>IF($AG111&lt;&gt;"Pronta","",IFERROR(ROUND($E111*(1+$X111),2),""))</f>
        <v/>
      </c>
      <c r="Z111" s="29">
        <f>IF(OR($AG111&lt;&gt;"Pronta",$Q111="",$R111=""),"",IFERROR(ROUND(MIN($R111,MAX($Q111,$Y111)),2),""))</f>
        <v/>
      </c>
      <c r="AA111" s="27">
        <f>IF(OR($E111="",$Z111=""),"",IFERROR($Z111/$E111-1,""))</f>
        <v/>
      </c>
      <c r="AB111" s="26">
        <f>IF($Z111="","",IF($Y111&lt;$Q111,"Piso",IF($Y111&gt;$R111,"Teto","Nenhuma")))</f>
        <v/>
      </c>
      <c r="AC111" s="21">
        <f>IF($A111="","",IF($AG111&lt;&gt;"Pronta","Aguardando dados válidos",_xlfn.TEXTJOIN(" | ",TRUE,IF($T111&gt;0,"Demanda: aumento",IF($T111&lt;0,"Demanda: redução","")),IF($U111&gt;0,"Concorrência: aumento",IF($U111&lt;0,"Concorrência: redução","")),IF($V111&gt;0,"Estoque: aumento",IF($V111&lt;0,"Estoque: redução","")),IF(ABS($W111-$X111)&gt;0.0000001,"Limite da rodada aplicado",""),IF($AB111="Piso","Piso vigente aplicado",IF($AB111="Teto","Teto aplicado","")),IF(AND($T111=0,$U111=0,$V111=0),"Sem gatilho de reajuste",""))))</f>
        <v/>
      </c>
      <c r="AD111" s="21">
        <f>IF(OR($A111="",$AG111&lt;&gt;"Pronta"),"",_xlfn.TEXTJOIN(" | ",TRUE,IF($E111&lt;$Q111,"Preço atual abaixo do piso",""),IF($E111&gt;$R111,"Preço atual acima do teto",""),IF(AND($N111&gt;0,$E111&gt;0,1-$N111/$E111&lt;$O111),"Margem estimada do preço atual abaixo do mínimo",""),IF($G111="","Preço concorrente não informado",""),IF($AB111="Piso","Recomendação travada no piso",""),IF($AB111="Teto","Recomendação travada no teto","")))</f>
        <v/>
      </c>
      <c r="AE111" s="19">
        <f>IF($AG111&lt;&gt;"Pronta","",IF($I111="Aprovar recomendação",$Z111,IF($I111="Manter preço atual",$E111,IF($I111="Definir manualmente",$J111,""))))</f>
        <v/>
      </c>
      <c r="AF111" s="21">
        <f>IF($A111="","",IF($AG111&lt;&gt;"Pronta","Aguardando correção",IF(OR($I111="",$I111="Pendente"),"Decisão pendente",IF(AND($I111="Definir manualmente",OR($J111="",$J111&lt;=0)),"Informe o preço manual",IF(OR($AE111&lt;$Q111,$AE111&gt;$R111),"Preço final fora do piso/teto","OK")))))</f>
        <v/>
      </c>
      <c r="AG111" s="26">
        <f>IF(COUNTA($A111:$K111)=0,"",IF(OR($A111="",$B111="",$C111="",$D111="",$E111="",$F111="",$H111=""),"Incompleta",IF(OR(COUNTIF($A$5:$A$204,$A111)&gt;1,NOT(ISNUMBER($B111)),COUNTIF(Produtos!$A$4:$A$103,$C111)&lt;&gt;1,IFERROR(INDEX(Produtos!$K$4:$K$103,MATCH($C111,Produtos!$A$4:$A$103,0))&lt;&gt;"Ativo",TRUE),IFERROR(INDEX(Produtos!$L$4:$L$103,MATCH($C111,Produtos!$A$4:$A$103,0))&lt;&gt;"OK",TRUE),COUNTIF(Regras!$A$4:$A$103,$D111)&lt;&gt;1,IFERROR(INDEX(Regras!$O$4:$O$103,MATCH($D111,Regras!$A$4:$A$103,0))&lt;&gt;"Sim",TRUE),IFERROR(INDEX(Regras!$P$4:$P$103,MATCH($D111,Regras!$A$4:$A$103,0))&lt;&gt;"OK",TRUE),NOT(ISNUMBER($E111)),$E111&lt;=0,NOT(ISNUMBER($F111)),$F111&lt;0,$F111&gt;5,NOT(ISNUMBER($H111)),$H111&lt;0,$H111&lt;&gt;INT($H111),AND($G111&lt;&gt;"",OR(NOT(ISNUMBER($G111)),$G111&lt;=0))),"Revisar","Pronta")))</f>
        <v/>
      </c>
    </row>
    <row r="112">
      <c r="A112" s="16" t="n"/>
      <c r="B112" s="24" t="n"/>
      <c r="C112" s="16" t="n"/>
      <c r="D112" s="16" t="n"/>
      <c r="E112" s="17" t="n"/>
      <c r="F112" s="18" t="n"/>
      <c r="G112" s="17" t="n"/>
      <c r="H112" s="20" t="n"/>
      <c r="I112" s="16" t="n"/>
      <c r="J112" s="17" t="n"/>
      <c r="K112" s="25" t="n"/>
      <c r="L112" s="26">
        <f>IF($C112="","",IFERROR(INDEX(Produtos!$B$4:$B$103,MATCH($C112,Produtos!$A$4:$A$103,0)),""))</f>
        <v/>
      </c>
      <c r="M112" s="26">
        <f>IF($C112="","",IFERROR(INDEX(Produtos!$C$4:$C$103,MATCH($C112,Produtos!$A$4:$A$103,0)),""))</f>
        <v/>
      </c>
      <c r="N112" s="19">
        <f>IF($C112="","",IFERROR(INDEX(Produtos!$D$4:$D$103,MATCH($C112,Produtos!$A$4:$A$103,0)),""))</f>
        <v/>
      </c>
      <c r="O112" s="27">
        <f>IF($C112="","",IFERROR(INDEX(Produtos!$E$4:$E$103,MATCH($C112,Produtos!$A$4:$A$103,0)),""))</f>
        <v/>
      </c>
      <c r="P112" s="19">
        <f>IF($C112="","",IFERROR(INDEX(Produtos!$G$4:$G$103,MATCH($C112,Produtos!$A$4:$A$103,0)),""))</f>
        <v/>
      </c>
      <c r="Q112" s="19">
        <f>IF($C112="","",IFERROR(INDEX(Produtos!$H$4:$H$103,MATCH($C112,Produtos!$A$4:$A$103,0)),""))</f>
        <v/>
      </c>
      <c r="R112" s="19">
        <f>IF($C112="","",IFERROR(INDEX(Produtos!$I$4:$I$103,MATCH($C112,Produtos!$A$4:$A$103,0)),""))</f>
        <v/>
      </c>
      <c r="S112" s="28">
        <f>IF($C112="","",IFERROR(INDEX(Produtos!$J$4:$J$103,MATCH($C112,Produtos!$A$4:$A$103,0)),""))</f>
        <v/>
      </c>
      <c r="T112" s="27">
        <f>IF($AG112&lt;&gt;"Pronta","",IFERROR(IF($F112&lt;=INDEX(Regras!$C$4:$C$103,MATCH($D112,Regras!$A$4:$A$103,0)),INDEX(Regras!$E$4:$E$103,MATCH($D112,Regras!$A$4:$A$103,0)),IF($F112&gt;=INDEX(Regras!$D$4:$D$103,MATCH($D112,Regras!$A$4:$A$103,0)),INDEX(Regras!$F$4:$F$103,MATCH($D112,Regras!$A$4:$A$103,0)),0)),""))</f>
        <v/>
      </c>
      <c r="U112" s="27">
        <f>IF($AG112&lt;&gt;"Pronta","",IFERROR(IF($G112="",0,IF($G112&lt;=$E112*(1-INDEX(Regras!$G$4:$G$103,MATCH($D112,Regras!$A$4:$A$103,0))),INDEX(Regras!$H$4:$H$103,MATCH($D112,Regras!$A$4:$A$103,0)),IF($G112&gt;=$E112*(1+INDEX(Regras!$G$4:$G$103,MATCH($D112,Regras!$A$4:$A$103,0))),INDEX(Regras!$I$4:$I$103,MATCH($D112,Regras!$A$4:$A$103,0)),0))),""))</f>
        <v/>
      </c>
      <c r="V112" s="27">
        <f>IF($AG112&lt;&gt;"Pronta","",IFERROR(IF($H112/$S112&lt;=INDEX(Regras!$J$4:$J$103,MATCH($D112,Regras!$A$4:$A$103,0)),INDEX(Regras!$L$4:$L$103,MATCH($D112,Regras!$A$4:$A$103,0)),IF($H112/$S112&gt;=INDEX(Regras!$K$4:$K$103,MATCH($D112,Regras!$A$4:$A$103,0)),INDEX(Regras!$M$4:$M$103,MATCH($D112,Regras!$A$4:$A$103,0)),0)),""))</f>
        <v/>
      </c>
      <c r="W112" s="27">
        <f>IF($AG112&lt;&gt;"Pronta","",SUM($T112:$V112))</f>
        <v/>
      </c>
      <c r="X112" s="27">
        <f>IF($AG112&lt;&gt;"Pronta","",IFERROR(MAX(-INDEX(Regras!$N$4:$N$103,MATCH($D112,Regras!$A$4:$A$103,0)),MIN(INDEX(Regras!$N$4:$N$103,MATCH($D112,Regras!$A$4:$A$103,0)),$W112)),""))</f>
        <v/>
      </c>
      <c r="Y112" s="19">
        <f>IF($AG112&lt;&gt;"Pronta","",IFERROR(ROUND($E112*(1+$X112),2),""))</f>
        <v/>
      </c>
      <c r="Z112" s="29">
        <f>IF(OR($AG112&lt;&gt;"Pronta",$Q112="",$R112=""),"",IFERROR(ROUND(MIN($R112,MAX($Q112,$Y112)),2),""))</f>
        <v/>
      </c>
      <c r="AA112" s="27">
        <f>IF(OR($E112="",$Z112=""),"",IFERROR($Z112/$E112-1,""))</f>
        <v/>
      </c>
      <c r="AB112" s="26">
        <f>IF($Z112="","",IF($Y112&lt;$Q112,"Piso",IF($Y112&gt;$R112,"Teto","Nenhuma")))</f>
        <v/>
      </c>
      <c r="AC112" s="21">
        <f>IF($A112="","",IF($AG112&lt;&gt;"Pronta","Aguardando dados válidos",_xlfn.TEXTJOIN(" | ",TRUE,IF($T112&gt;0,"Demanda: aumento",IF($T112&lt;0,"Demanda: redução","")),IF($U112&gt;0,"Concorrência: aumento",IF($U112&lt;0,"Concorrência: redução","")),IF($V112&gt;0,"Estoque: aumento",IF($V112&lt;0,"Estoque: redução","")),IF(ABS($W112-$X112)&gt;0.0000001,"Limite da rodada aplicado",""),IF($AB112="Piso","Piso vigente aplicado",IF($AB112="Teto","Teto aplicado","")),IF(AND($T112=0,$U112=0,$V112=0),"Sem gatilho de reajuste",""))))</f>
        <v/>
      </c>
      <c r="AD112" s="21">
        <f>IF(OR($A112="",$AG112&lt;&gt;"Pronta"),"",_xlfn.TEXTJOIN(" | ",TRUE,IF($E112&lt;$Q112,"Preço atual abaixo do piso",""),IF($E112&gt;$R112,"Preço atual acima do teto",""),IF(AND($N112&gt;0,$E112&gt;0,1-$N112/$E112&lt;$O112),"Margem estimada do preço atual abaixo do mínimo",""),IF($G112="","Preço concorrente não informado",""),IF($AB112="Piso","Recomendação travada no piso",""),IF($AB112="Teto","Recomendação travada no teto","")))</f>
        <v/>
      </c>
      <c r="AE112" s="19">
        <f>IF($AG112&lt;&gt;"Pronta","",IF($I112="Aprovar recomendação",$Z112,IF($I112="Manter preço atual",$E112,IF($I112="Definir manualmente",$J112,""))))</f>
        <v/>
      </c>
      <c r="AF112" s="21">
        <f>IF($A112="","",IF($AG112&lt;&gt;"Pronta","Aguardando correção",IF(OR($I112="",$I112="Pendente"),"Decisão pendente",IF(AND($I112="Definir manualmente",OR($J112="",$J112&lt;=0)),"Informe o preço manual",IF(OR($AE112&lt;$Q112,$AE112&gt;$R112),"Preço final fora do piso/teto","OK")))))</f>
        <v/>
      </c>
      <c r="AG112" s="26">
        <f>IF(COUNTA($A112:$K112)=0,"",IF(OR($A112="",$B112="",$C112="",$D112="",$E112="",$F112="",$H112=""),"Incompleta",IF(OR(COUNTIF($A$5:$A$204,$A112)&gt;1,NOT(ISNUMBER($B112)),COUNTIF(Produtos!$A$4:$A$103,$C112)&lt;&gt;1,IFERROR(INDEX(Produtos!$K$4:$K$103,MATCH($C112,Produtos!$A$4:$A$103,0))&lt;&gt;"Ativo",TRUE),IFERROR(INDEX(Produtos!$L$4:$L$103,MATCH($C112,Produtos!$A$4:$A$103,0))&lt;&gt;"OK",TRUE),COUNTIF(Regras!$A$4:$A$103,$D112)&lt;&gt;1,IFERROR(INDEX(Regras!$O$4:$O$103,MATCH($D112,Regras!$A$4:$A$103,0))&lt;&gt;"Sim",TRUE),IFERROR(INDEX(Regras!$P$4:$P$103,MATCH($D112,Regras!$A$4:$A$103,0))&lt;&gt;"OK",TRUE),NOT(ISNUMBER($E112)),$E112&lt;=0,NOT(ISNUMBER($F112)),$F112&lt;0,$F112&gt;5,NOT(ISNUMBER($H112)),$H112&lt;0,$H112&lt;&gt;INT($H112),AND($G112&lt;&gt;"",OR(NOT(ISNUMBER($G112)),$G112&lt;=0))),"Revisar","Pronta")))</f>
        <v/>
      </c>
    </row>
    <row r="113">
      <c r="A113" s="16" t="n"/>
      <c r="B113" s="24" t="n"/>
      <c r="C113" s="16" t="n"/>
      <c r="D113" s="16" t="n"/>
      <c r="E113" s="17" t="n"/>
      <c r="F113" s="18" t="n"/>
      <c r="G113" s="17" t="n"/>
      <c r="H113" s="20" t="n"/>
      <c r="I113" s="16" t="n"/>
      <c r="J113" s="17" t="n"/>
      <c r="K113" s="25" t="n"/>
      <c r="L113" s="26">
        <f>IF($C113="","",IFERROR(INDEX(Produtos!$B$4:$B$103,MATCH($C113,Produtos!$A$4:$A$103,0)),""))</f>
        <v/>
      </c>
      <c r="M113" s="26">
        <f>IF($C113="","",IFERROR(INDEX(Produtos!$C$4:$C$103,MATCH($C113,Produtos!$A$4:$A$103,0)),""))</f>
        <v/>
      </c>
      <c r="N113" s="19">
        <f>IF($C113="","",IFERROR(INDEX(Produtos!$D$4:$D$103,MATCH($C113,Produtos!$A$4:$A$103,0)),""))</f>
        <v/>
      </c>
      <c r="O113" s="27">
        <f>IF($C113="","",IFERROR(INDEX(Produtos!$E$4:$E$103,MATCH($C113,Produtos!$A$4:$A$103,0)),""))</f>
        <v/>
      </c>
      <c r="P113" s="19">
        <f>IF($C113="","",IFERROR(INDEX(Produtos!$G$4:$G$103,MATCH($C113,Produtos!$A$4:$A$103,0)),""))</f>
        <v/>
      </c>
      <c r="Q113" s="19">
        <f>IF($C113="","",IFERROR(INDEX(Produtos!$H$4:$H$103,MATCH($C113,Produtos!$A$4:$A$103,0)),""))</f>
        <v/>
      </c>
      <c r="R113" s="19">
        <f>IF($C113="","",IFERROR(INDEX(Produtos!$I$4:$I$103,MATCH($C113,Produtos!$A$4:$A$103,0)),""))</f>
        <v/>
      </c>
      <c r="S113" s="28">
        <f>IF($C113="","",IFERROR(INDEX(Produtos!$J$4:$J$103,MATCH($C113,Produtos!$A$4:$A$103,0)),""))</f>
        <v/>
      </c>
      <c r="T113" s="27">
        <f>IF($AG113&lt;&gt;"Pronta","",IFERROR(IF($F113&lt;=INDEX(Regras!$C$4:$C$103,MATCH($D113,Regras!$A$4:$A$103,0)),INDEX(Regras!$E$4:$E$103,MATCH($D113,Regras!$A$4:$A$103,0)),IF($F113&gt;=INDEX(Regras!$D$4:$D$103,MATCH($D113,Regras!$A$4:$A$103,0)),INDEX(Regras!$F$4:$F$103,MATCH($D113,Regras!$A$4:$A$103,0)),0)),""))</f>
        <v/>
      </c>
      <c r="U113" s="27">
        <f>IF($AG113&lt;&gt;"Pronta","",IFERROR(IF($G113="",0,IF($G113&lt;=$E113*(1-INDEX(Regras!$G$4:$G$103,MATCH($D113,Regras!$A$4:$A$103,0))),INDEX(Regras!$H$4:$H$103,MATCH($D113,Regras!$A$4:$A$103,0)),IF($G113&gt;=$E113*(1+INDEX(Regras!$G$4:$G$103,MATCH($D113,Regras!$A$4:$A$103,0))),INDEX(Regras!$I$4:$I$103,MATCH($D113,Regras!$A$4:$A$103,0)),0))),""))</f>
        <v/>
      </c>
      <c r="V113" s="27">
        <f>IF($AG113&lt;&gt;"Pronta","",IFERROR(IF($H113/$S113&lt;=INDEX(Regras!$J$4:$J$103,MATCH($D113,Regras!$A$4:$A$103,0)),INDEX(Regras!$L$4:$L$103,MATCH($D113,Regras!$A$4:$A$103,0)),IF($H113/$S113&gt;=INDEX(Regras!$K$4:$K$103,MATCH($D113,Regras!$A$4:$A$103,0)),INDEX(Regras!$M$4:$M$103,MATCH($D113,Regras!$A$4:$A$103,0)),0)),""))</f>
        <v/>
      </c>
      <c r="W113" s="27">
        <f>IF($AG113&lt;&gt;"Pronta","",SUM($T113:$V113))</f>
        <v/>
      </c>
      <c r="X113" s="27">
        <f>IF($AG113&lt;&gt;"Pronta","",IFERROR(MAX(-INDEX(Regras!$N$4:$N$103,MATCH($D113,Regras!$A$4:$A$103,0)),MIN(INDEX(Regras!$N$4:$N$103,MATCH($D113,Regras!$A$4:$A$103,0)),$W113)),""))</f>
        <v/>
      </c>
      <c r="Y113" s="19">
        <f>IF($AG113&lt;&gt;"Pronta","",IFERROR(ROUND($E113*(1+$X113),2),""))</f>
        <v/>
      </c>
      <c r="Z113" s="29">
        <f>IF(OR($AG113&lt;&gt;"Pronta",$Q113="",$R113=""),"",IFERROR(ROUND(MIN($R113,MAX($Q113,$Y113)),2),""))</f>
        <v/>
      </c>
      <c r="AA113" s="27">
        <f>IF(OR($E113="",$Z113=""),"",IFERROR($Z113/$E113-1,""))</f>
        <v/>
      </c>
      <c r="AB113" s="26">
        <f>IF($Z113="","",IF($Y113&lt;$Q113,"Piso",IF($Y113&gt;$R113,"Teto","Nenhuma")))</f>
        <v/>
      </c>
      <c r="AC113" s="21">
        <f>IF($A113="","",IF($AG113&lt;&gt;"Pronta","Aguardando dados válidos",_xlfn.TEXTJOIN(" | ",TRUE,IF($T113&gt;0,"Demanda: aumento",IF($T113&lt;0,"Demanda: redução","")),IF($U113&gt;0,"Concorrência: aumento",IF($U113&lt;0,"Concorrência: redução","")),IF($V113&gt;0,"Estoque: aumento",IF($V113&lt;0,"Estoque: redução","")),IF(ABS($W113-$X113)&gt;0.0000001,"Limite da rodada aplicado",""),IF($AB113="Piso","Piso vigente aplicado",IF($AB113="Teto","Teto aplicado","")),IF(AND($T113=0,$U113=0,$V113=0),"Sem gatilho de reajuste",""))))</f>
        <v/>
      </c>
      <c r="AD113" s="21">
        <f>IF(OR($A113="",$AG113&lt;&gt;"Pronta"),"",_xlfn.TEXTJOIN(" | ",TRUE,IF($E113&lt;$Q113,"Preço atual abaixo do piso",""),IF($E113&gt;$R113,"Preço atual acima do teto",""),IF(AND($N113&gt;0,$E113&gt;0,1-$N113/$E113&lt;$O113),"Margem estimada do preço atual abaixo do mínimo",""),IF($G113="","Preço concorrente não informado",""),IF($AB113="Piso","Recomendação travada no piso",""),IF($AB113="Teto","Recomendação travada no teto","")))</f>
        <v/>
      </c>
      <c r="AE113" s="19">
        <f>IF($AG113&lt;&gt;"Pronta","",IF($I113="Aprovar recomendação",$Z113,IF($I113="Manter preço atual",$E113,IF($I113="Definir manualmente",$J113,""))))</f>
        <v/>
      </c>
      <c r="AF113" s="21">
        <f>IF($A113="","",IF($AG113&lt;&gt;"Pronta","Aguardando correção",IF(OR($I113="",$I113="Pendente"),"Decisão pendente",IF(AND($I113="Definir manualmente",OR($J113="",$J113&lt;=0)),"Informe o preço manual",IF(OR($AE113&lt;$Q113,$AE113&gt;$R113),"Preço final fora do piso/teto","OK")))))</f>
        <v/>
      </c>
      <c r="AG113" s="26">
        <f>IF(COUNTA($A113:$K113)=0,"",IF(OR($A113="",$B113="",$C113="",$D113="",$E113="",$F113="",$H113=""),"Incompleta",IF(OR(COUNTIF($A$5:$A$204,$A113)&gt;1,NOT(ISNUMBER($B113)),COUNTIF(Produtos!$A$4:$A$103,$C113)&lt;&gt;1,IFERROR(INDEX(Produtos!$K$4:$K$103,MATCH($C113,Produtos!$A$4:$A$103,0))&lt;&gt;"Ativo",TRUE),IFERROR(INDEX(Produtos!$L$4:$L$103,MATCH($C113,Produtos!$A$4:$A$103,0))&lt;&gt;"OK",TRUE),COUNTIF(Regras!$A$4:$A$103,$D113)&lt;&gt;1,IFERROR(INDEX(Regras!$O$4:$O$103,MATCH($D113,Regras!$A$4:$A$103,0))&lt;&gt;"Sim",TRUE),IFERROR(INDEX(Regras!$P$4:$P$103,MATCH($D113,Regras!$A$4:$A$103,0))&lt;&gt;"OK",TRUE),NOT(ISNUMBER($E113)),$E113&lt;=0,NOT(ISNUMBER($F113)),$F113&lt;0,$F113&gt;5,NOT(ISNUMBER($H113)),$H113&lt;0,$H113&lt;&gt;INT($H113),AND($G113&lt;&gt;"",OR(NOT(ISNUMBER($G113)),$G113&lt;=0))),"Revisar","Pronta")))</f>
        <v/>
      </c>
    </row>
    <row r="114">
      <c r="A114" s="16" t="n"/>
      <c r="B114" s="24" t="n"/>
      <c r="C114" s="16" t="n"/>
      <c r="D114" s="16" t="n"/>
      <c r="E114" s="17" t="n"/>
      <c r="F114" s="18" t="n"/>
      <c r="G114" s="17" t="n"/>
      <c r="H114" s="20" t="n"/>
      <c r="I114" s="16" t="n"/>
      <c r="J114" s="17" t="n"/>
      <c r="K114" s="25" t="n"/>
      <c r="L114" s="26">
        <f>IF($C114="","",IFERROR(INDEX(Produtos!$B$4:$B$103,MATCH($C114,Produtos!$A$4:$A$103,0)),""))</f>
        <v/>
      </c>
      <c r="M114" s="26">
        <f>IF($C114="","",IFERROR(INDEX(Produtos!$C$4:$C$103,MATCH($C114,Produtos!$A$4:$A$103,0)),""))</f>
        <v/>
      </c>
      <c r="N114" s="19">
        <f>IF($C114="","",IFERROR(INDEX(Produtos!$D$4:$D$103,MATCH($C114,Produtos!$A$4:$A$103,0)),""))</f>
        <v/>
      </c>
      <c r="O114" s="27">
        <f>IF($C114="","",IFERROR(INDEX(Produtos!$E$4:$E$103,MATCH($C114,Produtos!$A$4:$A$103,0)),""))</f>
        <v/>
      </c>
      <c r="P114" s="19">
        <f>IF($C114="","",IFERROR(INDEX(Produtos!$G$4:$G$103,MATCH($C114,Produtos!$A$4:$A$103,0)),""))</f>
        <v/>
      </c>
      <c r="Q114" s="19">
        <f>IF($C114="","",IFERROR(INDEX(Produtos!$H$4:$H$103,MATCH($C114,Produtos!$A$4:$A$103,0)),""))</f>
        <v/>
      </c>
      <c r="R114" s="19">
        <f>IF($C114="","",IFERROR(INDEX(Produtos!$I$4:$I$103,MATCH($C114,Produtos!$A$4:$A$103,0)),""))</f>
        <v/>
      </c>
      <c r="S114" s="28">
        <f>IF($C114="","",IFERROR(INDEX(Produtos!$J$4:$J$103,MATCH($C114,Produtos!$A$4:$A$103,0)),""))</f>
        <v/>
      </c>
      <c r="T114" s="27">
        <f>IF($AG114&lt;&gt;"Pronta","",IFERROR(IF($F114&lt;=INDEX(Regras!$C$4:$C$103,MATCH($D114,Regras!$A$4:$A$103,0)),INDEX(Regras!$E$4:$E$103,MATCH($D114,Regras!$A$4:$A$103,0)),IF($F114&gt;=INDEX(Regras!$D$4:$D$103,MATCH($D114,Regras!$A$4:$A$103,0)),INDEX(Regras!$F$4:$F$103,MATCH($D114,Regras!$A$4:$A$103,0)),0)),""))</f>
        <v/>
      </c>
      <c r="U114" s="27">
        <f>IF($AG114&lt;&gt;"Pronta","",IFERROR(IF($G114="",0,IF($G114&lt;=$E114*(1-INDEX(Regras!$G$4:$G$103,MATCH($D114,Regras!$A$4:$A$103,0))),INDEX(Regras!$H$4:$H$103,MATCH($D114,Regras!$A$4:$A$103,0)),IF($G114&gt;=$E114*(1+INDEX(Regras!$G$4:$G$103,MATCH($D114,Regras!$A$4:$A$103,0))),INDEX(Regras!$I$4:$I$103,MATCH($D114,Regras!$A$4:$A$103,0)),0))),""))</f>
        <v/>
      </c>
      <c r="V114" s="27">
        <f>IF($AG114&lt;&gt;"Pronta","",IFERROR(IF($H114/$S114&lt;=INDEX(Regras!$J$4:$J$103,MATCH($D114,Regras!$A$4:$A$103,0)),INDEX(Regras!$L$4:$L$103,MATCH($D114,Regras!$A$4:$A$103,0)),IF($H114/$S114&gt;=INDEX(Regras!$K$4:$K$103,MATCH($D114,Regras!$A$4:$A$103,0)),INDEX(Regras!$M$4:$M$103,MATCH($D114,Regras!$A$4:$A$103,0)),0)),""))</f>
        <v/>
      </c>
      <c r="W114" s="27">
        <f>IF($AG114&lt;&gt;"Pronta","",SUM($T114:$V114))</f>
        <v/>
      </c>
      <c r="X114" s="27">
        <f>IF($AG114&lt;&gt;"Pronta","",IFERROR(MAX(-INDEX(Regras!$N$4:$N$103,MATCH($D114,Regras!$A$4:$A$103,0)),MIN(INDEX(Regras!$N$4:$N$103,MATCH($D114,Regras!$A$4:$A$103,0)),$W114)),""))</f>
        <v/>
      </c>
      <c r="Y114" s="19">
        <f>IF($AG114&lt;&gt;"Pronta","",IFERROR(ROUND($E114*(1+$X114),2),""))</f>
        <v/>
      </c>
      <c r="Z114" s="29">
        <f>IF(OR($AG114&lt;&gt;"Pronta",$Q114="",$R114=""),"",IFERROR(ROUND(MIN($R114,MAX($Q114,$Y114)),2),""))</f>
        <v/>
      </c>
      <c r="AA114" s="27">
        <f>IF(OR($E114="",$Z114=""),"",IFERROR($Z114/$E114-1,""))</f>
        <v/>
      </c>
      <c r="AB114" s="26">
        <f>IF($Z114="","",IF($Y114&lt;$Q114,"Piso",IF($Y114&gt;$R114,"Teto","Nenhuma")))</f>
        <v/>
      </c>
      <c r="AC114" s="21">
        <f>IF($A114="","",IF($AG114&lt;&gt;"Pronta","Aguardando dados válidos",_xlfn.TEXTJOIN(" | ",TRUE,IF($T114&gt;0,"Demanda: aumento",IF($T114&lt;0,"Demanda: redução","")),IF($U114&gt;0,"Concorrência: aumento",IF($U114&lt;0,"Concorrência: redução","")),IF($V114&gt;0,"Estoque: aumento",IF($V114&lt;0,"Estoque: redução","")),IF(ABS($W114-$X114)&gt;0.0000001,"Limite da rodada aplicado",""),IF($AB114="Piso","Piso vigente aplicado",IF($AB114="Teto","Teto aplicado","")),IF(AND($T114=0,$U114=0,$V114=0),"Sem gatilho de reajuste",""))))</f>
        <v/>
      </c>
      <c r="AD114" s="21">
        <f>IF(OR($A114="",$AG114&lt;&gt;"Pronta"),"",_xlfn.TEXTJOIN(" | ",TRUE,IF($E114&lt;$Q114,"Preço atual abaixo do piso",""),IF($E114&gt;$R114,"Preço atual acima do teto",""),IF(AND($N114&gt;0,$E114&gt;0,1-$N114/$E114&lt;$O114),"Margem estimada do preço atual abaixo do mínimo",""),IF($G114="","Preço concorrente não informado",""),IF($AB114="Piso","Recomendação travada no piso",""),IF($AB114="Teto","Recomendação travada no teto","")))</f>
        <v/>
      </c>
      <c r="AE114" s="19">
        <f>IF($AG114&lt;&gt;"Pronta","",IF($I114="Aprovar recomendação",$Z114,IF($I114="Manter preço atual",$E114,IF($I114="Definir manualmente",$J114,""))))</f>
        <v/>
      </c>
      <c r="AF114" s="21">
        <f>IF($A114="","",IF($AG114&lt;&gt;"Pronta","Aguardando correção",IF(OR($I114="",$I114="Pendente"),"Decisão pendente",IF(AND($I114="Definir manualmente",OR($J114="",$J114&lt;=0)),"Informe o preço manual",IF(OR($AE114&lt;$Q114,$AE114&gt;$R114),"Preço final fora do piso/teto","OK")))))</f>
        <v/>
      </c>
      <c r="AG114" s="26">
        <f>IF(COUNTA($A114:$K114)=0,"",IF(OR($A114="",$B114="",$C114="",$D114="",$E114="",$F114="",$H114=""),"Incompleta",IF(OR(COUNTIF($A$5:$A$204,$A114)&gt;1,NOT(ISNUMBER($B114)),COUNTIF(Produtos!$A$4:$A$103,$C114)&lt;&gt;1,IFERROR(INDEX(Produtos!$K$4:$K$103,MATCH($C114,Produtos!$A$4:$A$103,0))&lt;&gt;"Ativo",TRUE),IFERROR(INDEX(Produtos!$L$4:$L$103,MATCH($C114,Produtos!$A$4:$A$103,0))&lt;&gt;"OK",TRUE),COUNTIF(Regras!$A$4:$A$103,$D114)&lt;&gt;1,IFERROR(INDEX(Regras!$O$4:$O$103,MATCH($D114,Regras!$A$4:$A$103,0))&lt;&gt;"Sim",TRUE),IFERROR(INDEX(Regras!$P$4:$P$103,MATCH($D114,Regras!$A$4:$A$103,0))&lt;&gt;"OK",TRUE),NOT(ISNUMBER($E114)),$E114&lt;=0,NOT(ISNUMBER($F114)),$F114&lt;0,$F114&gt;5,NOT(ISNUMBER($H114)),$H114&lt;0,$H114&lt;&gt;INT($H114),AND($G114&lt;&gt;"",OR(NOT(ISNUMBER($G114)),$G114&lt;=0))),"Revisar","Pronta")))</f>
        <v/>
      </c>
    </row>
    <row r="115">
      <c r="A115" s="16" t="n"/>
      <c r="B115" s="24" t="n"/>
      <c r="C115" s="16" t="n"/>
      <c r="D115" s="16" t="n"/>
      <c r="E115" s="17" t="n"/>
      <c r="F115" s="18" t="n"/>
      <c r="G115" s="17" t="n"/>
      <c r="H115" s="20" t="n"/>
      <c r="I115" s="16" t="n"/>
      <c r="J115" s="17" t="n"/>
      <c r="K115" s="25" t="n"/>
      <c r="L115" s="26">
        <f>IF($C115="","",IFERROR(INDEX(Produtos!$B$4:$B$103,MATCH($C115,Produtos!$A$4:$A$103,0)),""))</f>
        <v/>
      </c>
      <c r="M115" s="26">
        <f>IF($C115="","",IFERROR(INDEX(Produtos!$C$4:$C$103,MATCH($C115,Produtos!$A$4:$A$103,0)),""))</f>
        <v/>
      </c>
      <c r="N115" s="19">
        <f>IF($C115="","",IFERROR(INDEX(Produtos!$D$4:$D$103,MATCH($C115,Produtos!$A$4:$A$103,0)),""))</f>
        <v/>
      </c>
      <c r="O115" s="27">
        <f>IF($C115="","",IFERROR(INDEX(Produtos!$E$4:$E$103,MATCH($C115,Produtos!$A$4:$A$103,0)),""))</f>
        <v/>
      </c>
      <c r="P115" s="19">
        <f>IF($C115="","",IFERROR(INDEX(Produtos!$G$4:$G$103,MATCH($C115,Produtos!$A$4:$A$103,0)),""))</f>
        <v/>
      </c>
      <c r="Q115" s="19">
        <f>IF($C115="","",IFERROR(INDEX(Produtos!$H$4:$H$103,MATCH($C115,Produtos!$A$4:$A$103,0)),""))</f>
        <v/>
      </c>
      <c r="R115" s="19">
        <f>IF($C115="","",IFERROR(INDEX(Produtos!$I$4:$I$103,MATCH($C115,Produtos!$A$4:$A$103,0)),""))</f>
        <v/>
      </c>
      <c r="S115" s="28">
        <f>IF($C115="","",IFERROR(INDEX(Produtos!$J$4:$J$103,MATCH($C115,Produtos!$A$4:$A$103,0)),""))</f>
        <v/>
      </c>
      <c r="T115" s="27">
        <f>IF($AG115&lt;&gt;"Pronta","",IFERROR(IF($F115&lt;=INDEX(Regras!$C$4:$C$103,MATCH($D115,Regras!$A$4:$A$103,0)),INDEX(Regras!$E$4:$E$103,MATCH($D115,Regras!$A$4:$A$103,0)),IF($F115&gt;=INDEX(Regras!$D$4:$D$103,MATCH($D115,Regras!$A$4:$A$103,0)),INDEX(Regras!$F$4:$F$103,MATCH($D115,Regras!$A$4:$A$103,0)),0)),""))</f>
        <v/>
      </c>
      <c r="U115" s="27">
        <f>IF($AG115&lt;&gt;"Pronta","",IFERROR(IF($G115="",0,IF($G115&lt;=$E115*(1-INDEX(Regras!$G$4:$G$103,MATCH($D115,Regras!$A$4:$A$103,0))),INDEX(Regras!$H$4:$H$103,MATCH($D115,Regras!$A$4:$A$103,0)),IF($G115&gt;=$E115*(1+INDEX(Regras!$G$4:$G$103,MATCH($D115,Regras!$A$4:$A$103,0))),INDEX(Regras!$I$4:$I$103,MATCH($D115,Regras!$A$4:$A$103,0)),0))),""))</f>
        <v/>
      </c>
      <c r="V115" s="27">
        <f>IF($AG115&lt;&gt;"Pronta","",IFERROR(IF($H115/$S115&lt;=INDEX(Regras!$J$4:$J$103,MATCH($D115,Regras!$A$4:$A$103,0)),INDEX(Regras!$L$4:$L$103,MATCH($D115,Regras!$A$4:$A$103,0)),IF($H115/$S115&gt;=INDEX(Regras!$K$4:$K$103,MATCH($D115,Regras!$A$4:$A$103,0)),INDEX(Regras!$M$4:$M$103,MATCH($D115,Regras!$A$4:$A$103,0)),0)),""))</f>
        <v/>
      </c>
      <c r="W115" s="27">
        <f>IF($AG115&lt;&gt;"Pronta","",SUM($T115:$V115))</f>
        <v/>
      </c>
      <c r="X115" s="27">
        <f>IF($AG115&lt;&gt;"Pronta","",IFERROR(MAX(-INDEX(Regras!$N$4:$N$103,MATCH($D115,Regras!$A$4:$A$103,0)),MIN(INDEX(Regras!$N$4:$N$103,MATCH($D115,Regras!$A$4:$A$103,0)),$W115)),""))</f>
        <v/>
      </c>
      <c r="Y115" s="19">
        <f>IF($AG115&lt;&gt;"Pronta","",IFERROR(ROUND($E115*(1+$X115),2),""))</f>
        <v/>
      </c>
      <c r="Z115" s="29">
        <f>IF(OR($AG115&lt;&gt;"Pronta",$Q115="",$R115=""),"",IFERROR(ROUND(MIN($R115,MAX($Q115,$Y115)),2),""))</f>
        <v/>
      </c>
      <c r="AA115" s="27">
        <f>IF(OR($E115="",$Z115=""),"",IFERROR($Z115/$E115-1,""))</f>
        <v/>
      </c>
      <c r="AB115" s="26">
        <f>IF($Z115="","",IF($Y115&lt;$Q115,"Piso",IF($Y115&gt;$R115,"Teto","Nenhuma")))</f>
        <v/>
      </c>
      <c r="AC115" s="21">
        <f>IF($A115="","",IF($AG115&lt;&gt;"Pronta","Aguardando dados válidos",_xlfn.TEXTJOIN(" | ",TRUE,IF($T115&gt;0,"Demanda: aumento",IF($T115&lt;0,"Demanda: redução","")),IF($U115&gt;0,"Concorrência: aumento",IF($U115&lt;0,"Concorrência: redução","")),IF($V115&gt;0,"Estoque: aumento",IF($V115&lt;0,"Estoque: redução","")),IF(ABS($W115-$X115)&gt;0.0000001,"Limite da rodada aplicado",""),IF($AB115="Piso","Piso vigente aplicado",IF($AB115="Teto","Teto aplicado","")),IF(AND($T115=0,$U115=0,$V115=0),"Sem gatilho de reajuste",""))))</f>
        <v/>
      </c>
      <c r="AD115" s="21">
        <f>IF(OR($A115="",$AG115&lt;&gt;"Pronta"),"",_xlfn.TEXTJOIN(" | ",TRUE,IF($E115&lt;$Q115,"Preço atual abaixo do piso",""),IF($E115&gt;$R115,"Preço atual acima do teto",""),IF(AND($N115&gt;0,$E115&gt;0,1-$N115/$E115&lt;$O115),"Margem estimada do preço atual abaixo do mínimo",""),IF($G115="","Preço concorrente não informado",""),IF($AB115="Piso","Recomendação travada no piso",""),IF($AB115="Teto","Recomendação travada no teto","")))</f>
        <v/>
      </c>
      <c r="AE115" s="19">
        <f>IF($AG115&lt;&gt;"Pronta","",IF($I115="Aprovar recomendação",$Z115,IF($I115="Manter preço atual",$E115,IF($I115="Definir manualmente",$J115,""))))</f>
        <v/>
      </c>
      <c r="AF115" s="21">
        <f>IF($A115="","",IF($AG115&lt;&gt;"Pronta","Aguardando correção",IF(OR($I115="",$I115="Pendente"),"Decisão pendente",IF(AND($I115="Definir manualmente",OR($J115="",$J115&lt;=0)),"Informe o preço manual",IF(OR($AE115&lt;$Q115,$AE115&gt;$R115),"Preço final fora do piso/teto","OK")))))</f>
        <v/>
      </c>
      <c r="AG115" s="26">
        <f>IF(COUNTA($A115:$K115)=0,"",IF(OR($A115="",$B115="",$C115="",$D115="",$E115="",$F115="",$H115=""),"Incompleta",IF(OR(COUNTIF($A$5:$A$204,$A115)&gt;1,NOT(ISNUMBER($B115)),COUNTIF(Produtos!$A$4:$A$103,$C115)&lt;&gt;1,IFERROR(INDEX(Produtos!$K$4:$K$103,MATCH($C115,Produtos!$A$4:$A$103,0))&lt;&gt;"Ativo",TRUE),IFERROR(INDEX(Produtos!$L$4:$L$103,MATCH($C115,Produtos!$A$4:$A$103,0))&lt;&gt;"OK",TRUE),COUNTIF(Regras!$A$4:$A$103,$D115)&lt;&gt;1,IFERROR(INDEX(Regras!$O$4:$O$103,MATCH($D115,Regras!$A$4:$A$103,0))&lt;&gt;"Sim",TRUE),IFERROR(INDEX(Regras!$P$4:$P$103,MATCH($D115,Regras!$A$4:$A$103,0))&lt;&gt;"OK",TRUE),NOT(ISNUMBER($E115)),$E115&lt;=0,NOT(ISNUMBER($F115)),$F115&lt;0,$F115&gt;5,NOT(ISNUMBER($H115)),$H115&lt;0,$H115&lt;&gt;INT($H115),AND($G115&lt;&gt;"",OR(NOT(ISNUMBER($G115)),$G115&lt;=0))),"Revisar","Pronta")))</f>
        <v/>
      </c>
    </row>
    <row r="116">
      <c r="A116" s="16" t="n"/>
      <c r="B116" s="24" t="n"/>
      <c r="C116" s="16" t="n"/>
      <c r="D116" s="16" t="n"/>
      <c r="E116" s="17" t="n"/>
      <c r="F116" s="18" t="n"/>
      <c r="G116" s="17" t="n"/>
      <c r="H116" s="20" t="n"/>
      <c r="I116" s="16" t="n"/>
      <c r="J116" s="17" t="n"/>
      <c r="K116" s="25" t="n"/>
      <c r="L116" s="26">
        <f>IF($C116="","",IFERROR(INDEX(Produtos!$B$4:$B$103,MATCH($C116,Produtos!$A$4:$A$103,0)),""))</f>
        <v/>
      </c>
      <c r="M116" s="26">
        <f>IF($C116="","",IFERROR(INDEX(Produtos!$C$4:$C$103,MATCH($C116,Produtos!$A$4:$A$103,0)),""))</f>
        <v/>
      </c>
      <c r="N116" s="19">
        <f>IF($C116="","",IFERROR(INDEX(Produtos!$D$4:$D$103,MATCH($C116,Produtos!$A$4:$A$103,0)),""))</f>
        <v/>
      </c>
      <c r="O116" s="27">
        <f>IF($C116="","",IFERROR(INDEX(Produtos!$E$4:$E$103,MATCH($C116,Produtos!$A$4:$A$103,0)),""))</f>
        <v/>
      </c>
      <c r="P116" s="19">
        <f>IF($C116="","",IFERROR(INDEX(Produtos!$G$4:$G$103,MATCH($C116,Produtos!$A$4:$A$103,0)),""))</f>
        <v/>
      </c>
      <c r="Q116" s="19">
        <f>IF($C116="","",IFERROR(INDEX(Produtos!$H$4:$H$103,MATCH($C116,Produtos!$A$4:$A$103,0)),""))</f>
        <v/>
      </c>
      <c r="R116" s="19">
        <f>IF($C116="","",IFERROR(INDEX(Produtos!$I$4:$I$103,MATCH($C116,Produtos!$A$4:$A$103,0)),""))</f>
        <v/>
      </c>
      <c r="S116" s="28">
        <f>IF($C116="","",IFERROR(INDEX(Produtos!$J$4:$J$103,MATCH($C116,Produtos!$A$4:$A$103,0)),""))</f>
        <v/>
      </c>
      <c r="T116" s="27">
        <f>IF($AG116&lt;&gt;"Pronta","",IFERROR(IF($F116&lt;=INDEX(Regras!$C$4:$C$103,MATCH($D116,Regras!$A$4:$A$103,0)),INDEX(Regras!$E$4:$E$103,MATCH($D116,Regras!$A$4:$A$103,0)),IF($F116&gt;=INDEX(Regras!$D$4:$D$103,MATCH($D116,Regras!$A$4:$A$103,0)),INDEX(Regras!$F$4:$F$103,MATCH($D116,Regras!$A$4:$A$103,0)),0)),""))</f>
        <v/>
      </c>
      <c r="U116" s="27">
        <f>IF($AG116&lt;&gt;"Pronta","",IFERROR(IF($G116="",0,IF($G116&lt;=$E116*(1-INDEX(Regras!$G$4:$G$103,MATCH($D116,Regras!$A$4:$A$103,0))),INDEX(Regras!$H$4:$H$103,MATCH($D116,Regras!$A$4:$A$103,0)),IF($G116&gt;=$E116*(1+INDEX(Regras!$G$4:$G$103,MATCH($D116,Regras!$A$4:$A$103,0))),INDEX(Regras!$I$4:$I$103,MATCH($D116,Regras!$A$4:$A$103,0)),0))),""))</f>
        <v/>
      </c>
      <c r="V116" s="27">
        <f>IF($AG116&lt;&gt;"Pronta","",IFERROR(IF($H116/$S116&lt;=INDEX(Regras!$J$4:$J$103,MATCH($D116,Regras!$A$4:$A$103,0)),INDEX(Regras!$L$4:$L$103,MATCH($D116,Regras!$A$4:$A$103,0)),IF($H116/$S116&gt;=INDEX(Regras!$K$4:$K$103,MATCH($D116,Regras!$A$4:$A$103,0)),INDEX(Regras!$M$4:$M$103,MATCH($D116,Regras!$A$4:$A$103,0)),0)),""))</f>
        <v/>
      </c>
      <c r="W116" s="27">
        <f>IF($AG116&lt;&gt;"Pronta","",SUM($T116:$V116))</f>
        <v/>
      </c>
      <c r="X116" s="27">
        <f>IF($AG116&lt;&gt;"Pronta","",IFERROR(MAX(-INDEX(Regras!$N$4:$N$103,MATCH($D116,Regras!$A$4:$A$103,0)),MIN(INDEX(Regras!$N$4:$N$103,MATCH($D116,Regras!$A$4:$A$103,0)),$W116)),""))</f>
        <v/>
      </c>
      <c r="Y116" s="19">
        <f>IF($AG116&lt;&gt;"Pronta","",IFERROR(ROUND($E116*(1+$X116),2),""))</f>
        <v/>
      </c>
      <c r="Z116" s="29">
        <f>IF(OR($AG116&lt;&gt;"Pronta",$Q116="",$R116=""),"",IFERROR(ROUND(MIN($R116,MAX($Q116,$Y116)),2),""))</f>
        <v/>
      </c>
      <c r="AA116" s="27">
        <f>IF(OR($E116="",$Z116=""),"",IFERROR($Z116/$E116-1,""))</f>
        <v/>
      </c>
      <c r="AB116" s="26">
        <f>IF($Z116="","",IF($Y116&lt;$Q116,"Piso",IF($Y116&gt;$R116,"Teto","Nenhuma")))</f>
        <v/>
      </c>
      <c r="AC116" s="21">
        <f>IF($A116="","",IF($AG116&lt;&gt;"Pronta","Aguardando dados válidos",_xlfn.TEXTJOIN(" | ",TRUE,IF($T116&gt;0,"Demanda: aumento",IF($T116&lt;0,"Demanda: redução","")),IF($U116&gt;0,"Concorrência: aumento",IF($U116&lt;0,"Concorrência: redução","")),IF($V116&gt;0,"Estoque: aumento",IF($V116&lt;0,"Estoque: redução","")),IF(ABS($W116-$X116)&gt;0.0000001,"Limite da rodada aplicado",""),IF($AB116="Piso","Piso vigente aplicado",IF($AB116="Teto","Teto aplicado","")),IF(AND($T116=0,$U116=0,$V116=0),"Sem gatilho de reajuste",""))))</f>
        <v/>
      </c>
      <c r="AD116" s="21">
        <f>IF(OR($A116="",$AG116&lt;&gt;"Pronta"),"",_xlfn.TEXTJOIN(" | ",TRUE,IF($E116&lt;$Q116,"Preço atual abaixo do piso",""),IF($E116&gt;$R116,"Preço atual acima do teto",""),IF(AND($N116&gt;0,$E116&gt;0,1-$N116/$E116&lt;$O116),"Margem estimada do preço atual abaixo do mínimo",""),IF($G116="","Preço concorrente não informado",""),IF($AB116="Piso","Recomendação travada no piso",""),IF($AB116="Teto","Recomendação travada no teto","")))</f>
        <v/>
      </c>
      <c r="AE116" s="19">
        <f>IF($AG116&lt;&gt;"Pronta","",IF($I116="Aprovar recomendação",$Z116,IF($I116="Manter preço atual",$E116,IF($I116="Definir manualmente",$J116,""))))</f>
        <v/>
      </c>
      <c r="AF116" s="21">
        <f>IF($A116="","",IF($AG116&lt;&gt;"Pronta","Aguardando correção",IF(OR($I116="",$I116="Pendente"),"Decisão pendente",IF(AND($I116="Definir manualmente",OR($J116="",$J116&lt;=0)),"Informe o preço manual",IF(OR($AE116&lt;$Q116,$AE116&gt;$R116),"Preço final fora do piso/teto","OK")))))</f>
        <v/>
      </c>
      <c r="AG116" s="26">
        <f>IF(COUNTA($A116:$K116)=0,"",IF(OR($A116="",$B116="",$C116="",$D116="",$E116="",$F116="",$H116=""),"Incompleta",IF(OR(COUNTIF($A$5:$A$204,$A116)&gt;1,NOT(ISNUMBER($B116)),COUNTIF(Produtos!$A$4:$A$103,$C116)&lt;&gt;1,IFERROR(INDEX(Produtos!$K$4:$K$103,MATCH($C116,Produtos!$A$4:$A$103,0))&lt;&gt;"Ativo",TRUE),IFERROR(INDEX(Produtos!$L$4:$L$103,MATCH($C116,Produtos!$A$4:$A$103,0))&lt;&gt;"OK",TRUE),COUNTIF(Regras!$A$4:$A$103,$D116)&lt;&gt;1,IFERROR(INDEX(Regras!$O$4:$O$103,MATCH($D116,Regras!$A$4:$A$103,0))&lt;&gt;"Sim",TRUE),IFERROR(INDEX(Regras!$P$4:$P$103,MATCH($D116,Regras!$A$4:$A$103,0))&lt;&gt;"OK",TRUE),NOT(ISNUMBER($E116)),$E116&lt;=0,NOT(ISNUMBER($F116)),$F116&lt;0,$F116&gt;5,NOT(ISNUMBER($H116)),$H116&lt;0,$H116&lt;&gt;INT($H116),AND($G116&lt;&gt;"",OR(NOT(ISNUMBER($G116)),$G116&lt;=0))),"Revisar","Pronta")))</f>
        <v/>
      </c>
    </row>
    <row r="117">
      <c r="A117" s="16" t="n"/>
      <c r="B117" s="24" t="n"/>
      <c r="C117" s="16" t="n"/>
      <c r="D117" s="16" t="n"/>
      <c r="E117" s="17" t="n"/>
      <c r="F117" s="18" t="n"/>
      <c r="G117" s="17" t="n"/>
      <c r="H117" s="20" t="n"/>
      <c r="I117" s="16" t="n"/>
      <c r="J117" s="17" t="n"/>
      <c r="K117" s="25" t="n"/>
      <c r="L117" s="26">
        <f>IF($C117="","",IFERROR(INDEX(Produtos!$B$4:$B$103,MATCH($C117,Produtos!$A$4:$A$103,0)),""))</f>
        <v/>
      </c>
      <c r="M117" s="26">
        <f>IF($C117="","",IFERROR(INDEX(Produtos!$C$4:$C$103,MATCH($C117,Produtos!$A$4:$A$103,0)),""))</f>
        <v/>
      </c>
      <c r="N117" s="19">
        <f>IF($C117="","",IFERROR(INDEX(Produtos!$D$4:$D$103,MATCH($C117,Produtos!$A$4:$A$103,0)),""))</f>
        <v/>
      </c>
      <c r="O117" s="27">
        <f>IF($C117="","",IFERROR(INDEX(Produtos!$E$4:$E$103,MATCH($C117,Produtos!$A$4:$A$103,0)),""))</f>
        <v/>
      </c>
      <c r="P117" s="19">
        <f>IF($C117="","",IFERROR(INDEX(Produtos!$G$4:$G$103,MATCH($C117,Produtos!$A$4:$A$103,0)),""))</f>
        <v/>
      </c>
      <c r="Q117" s="19">
        <f>IF($C117="","",IFERROR(INDEX(Produtos!$H$4:$H$103,MATCH($C117,Produtos!$A$4:$A$103,0)),""))</f>
        <v/>
      </c>
      <c r="R117" s="19">
        <f>IF($C117="","",IFERROR(INDEX(Produtos!$I$4:$I$103,MATCH($C117,Produtos!$A$4:$A$103,0)),""))</f>
        <v/>
      </c>
      <c r="S117" s="28">
        <f>IF($C117="","",IFERROR(INDEX(Produtos!$J$4:$J$103,MATCH($C117,Produtos!$A$4:$A$103,0)),""))</f>
        <v/>
      </c>
      <c r="T117" s="27">
        <f>IF($AG117&lt;&gt;"Pronta","",IFERROR(IF($F117&lt;=INDEX(Regras!$C$4:$C$103,MATCH($D117,Regras!$A$4:$A$103,0)),INDEX(Regras!$E$4:$E$103,MATCH($D117,Regras!$A$4:$A$103,0)),IF($F117&gt;=INDEX(Regras!$D$4:$D$103,MATCH($D117,Regras!$A$4:$A$103,0)),INDEX(Regras!$F$4:$F$103,MATCH($D117,Regras!$A$4:$A$103,0)),0)),""))</f>
        <v/>
      </c>
      <c r="U117" s="27">
        <f>IF($AG117&lt;&gt;"Pronta","",IFERROR(IF($G117="",0,IF($G117&lt;=$E117*(1-INDEX(Regras!$G$4:$G$103,MATCH($D117,Regras!$A$4:$A$103,0))),INDEX(Regras!$H$4:$H$103,MATCH($D117,Regras!$A$4:$A$103,0)),IF($G117&gt;=$E117*(1+INDEX(Regras!$G$4:$G$103,MATCH($D117,Regras!$A$4:$A$103,0))),INDEX(Regras!$I$4:$I$103,MATCH($D117,Regras!$A$4:$A$103,0)),0))),""))</f>
        <v/>
      </c>
      <c r="V117" s="27">
        <f>IF($AG117&lt;&gt;"Pronta","",IFERROR(IF($H117/$S117&lt;=INDEX(Regras!$J$4:$J$103,MATCH($D117,Regras!$A$4:$A$103,0)),INDEX(Regras!$L$4:$L$103,MATCH($D117,Regras!$A$4:$A$103,0)),IF($H117/$S117&gt;=INDEX(Regras!$K$4:$K$103,MATCH($D117,Regras!$A$4:$A$103,0)),INDEX(Regras!$M$4:$M$103,MATCH($D117,Regras!$A$4:$A$103,0)),0)),""))</f>
        <v/>
      </c>
      <c r="W117" s="27">
        <f>IF($AG117&lt;&gt;"Pronta","",SUM($T117:$V117))</f>
        <v/>
      </c>
      <c r="X117" s="27">
        <f>IF($AG117&lt;&gt;"Pronta","",IFERROR(MAX(-INDEX(Regras!$N$4:$N$103,MATCH($D117,Regras!$A$4:$A$103,0)),MIN(INDEX(Regras!$N$4:$N$103,MATCH($D117,Regras!$A$4:$A$103,0)),$W117)),""))</f>
        <v/>
      </c>
      <c r="Y117" s="19">
        <f>IF($AG117&lt;&gt;"Pronta","",IFERROR(ROUND($E117*(1+$X117),2),""))</f>
        <v/>
      </c>
      <c r="Z117" s="29">
        <f>IF(OR($AG117&lt;&gt;"Pronta",$Q117="",$R117=""),"",IFERROR(ROUND(MIN($R117,MAX($Q117,$Y117)),2),""))</f>
        <v/>
      </c>
      <c r="AA117" s="27">
        <f>IF(OR($E117="",$Z117=""),"",IFERROR($Z117/$E117-1,""))</f>
        <v/>
      </c>
      <c r="AB117" s="26">
        <f>IF($Z117="","",IF($Y117&lt;$Q117,"Piso",IF($Y117&gt;$R117,"Teto","Nenhuma")))</f>
        <v/>
      </c>
      <c r="AC117" s="21">
        <f>IF($A117="","",IF($AG117&lt;&gt;"Pronta","Aguardando dados válidos",_xlfn.TEXTJOIN(" | ",TRUE,IF($T117&gt;0,"Demanda: aumento",IF($T117&lt;0,"Demanda: redução","")),IF($U117&gt;0,"Concorrência: aumento",IF($U117&lt;0,"Concorrência: redução","")),IF($V117&gt;0,"Estoque: aumento",IF($V117&lt;0,"Estoque: redução","")),IF(ABS($W117-$X117)&gt;0.0000001,"Limite da rodada aplicado",""),IF($AB117="Piso","Piso vigente aplicado",IF($AB117="Teto","Teto aplicado","")),IF(AND($T117=0,$U117=0,$V117=0),"Sem gatilho de reajuste",""))))</f>
        <v/>
      </c>
      <c r="AD117" s="21">
        <f>IF(OR($A117="",$AG117&lt;&gt;"Pronta"),"",_xlfn.TEXTJOIN(" | ",TRUE,IF($E117&lt;$Q117,"Preço atual abaixo do piso",""),IF($E117&gt;$R117,"Preço atual acima do teto",""),IF(AND($N117&gt;0,$E117&gt;0,1-$N117/$E117&lt;$O117),"Margem estimada do preço atual abaixo do mínimo",""),IF($G117="","Preço concorrente não informado",""),IF($AB117="Piso","Recomendação travada no piso",""),IF($AB117="Teto","Recomendação travada no teto","")))</f>
        <v/>
      </c>
      <c r="AE117" s="19">
        <f>IF($AG117&lt;&gt;"Pronta","",IF($I117="Aprovar recomendação",$Z117,IF($I117="Manter preço atual",$E117,IF($I117="Definir manualmente",$J117,""))))</f>
        <v/>
      </c>
      <c r="AF117" s="21">
        <f>IF($A117="","",IF($AG117&lt;&gt;"Pronta","Aguardando correção",IF(OR($I117="",$I117="Pendente"),"Decisão pendente",IF(AND($I117="Definir manualmente",OR($J117="",$J117&lt;=0)),"Informe o preço manual",IF(OR($AE117&lt;$Q117,$AE117&gt;$R117),"Preço final fora do piso/teto","OK")))))</f>
        <v/>
      </c>
      <c r="AG117" s="26">
        <f>IF(COUNTA($A117:$K117)=0,"",IF(OR($A117="",$B117="",$C117="",$D117="",$E117="",$F117="",$H117=""),"Incompleta",IF(OR(COUNTIF($A$5:$A$204,$A117)&gt;1,NOT(ISNUMBER($B117)),COUNTIF(Produtos!$A$4:$A$103,$C117)&lt;&gt;1,IFERROR(INDEX(Produtos!$K$4:$K$103,MATCH($C117,Produtos!$A$4:$A$103,0))&lt;&gt;"Ativo",TRUE),IFERROR(INDEX(Produtos!$L$4:$L$103,MATCH($C117,Produtos!$A$4:$A$103,0))&lt;&gt;"OK",TRUE),COUNTIF(Regras!$A$4:$A$103,$D117)&lt;&gt;1,IFERROR(INDEX(Regras!$O$4:$O$103,MATCH($D117,Regras!$A$4:$A$103,0))&lt;&gt;"Sim",TRUE),IFERROR(INDEX(Regras!$P$4:$P$103,MATCH($D117,Regras!$A$4:$A$103,0))&lt;&gt;"OK",TRUE),NOT(ISNUMBER($E117)),$E117&lt;=0,NOT(ISNUMBER($F117)),$F117&lt;0,$F117&gt;5,NOT(ISNUMBER($H117)),$H117&lt;0,$H117&lt;&gt;INT($H117),AND($G117&lt;&gt;"",OR(NOT(ISNUMBER($G117)),$G117&lt;=0))),"Revisar","Pronta")))</f>
        <v/>
      </c>
    </row>
    <row r="118">
      <c r="A118" s="16" t="n"/>
      <c r="B118" s="24" t="n"/>
      <c r="C118" s="16" t="n"/>
      <c r="D118" s="16" t="n"/>
      <c r="E118" s="17" t="n"/>
      <c r="F118" s="18" t="n"/>
      <c r="G118" s="17" t="n"/>
      <c r="H118" s="20" t="n"/>
      <c r="I118" s="16" t="n"/>
      <c r="J118" s="17" t="n"/>
      <c r="K118" s="25" t="n"/>
      <c r="L118" s="26">
        <f>IF($C118="","",IFERROR(INDEX(Produtos!$B$4:$B$103,MATCH($C118,Produtos!$A$4:$A$103,0)),""))</f>
        <v/>
      </c>
      <c r="M118" s="26">
        <f>IF($C118="","",IFERROR(INDEX(Produtos!$C$4:$C$103,MATCH($C118,Produtos!$A$4:$A$103,0)),""))</f>
        <v/>
      </c>
      <c r="N118" s="19">
        <f>IF($C118="","",IFERROR(INDEX(Produtos!$D$4:$D$103,MATCH($C118,Produtos!$A$4:$A$103,0)),""))</f>
        <v/>
      </c>
      <c r="O118" s="27">
        <f>IF($C118="","",IFERROR(INDEX(Produtos!$E$4:$E$103,MATCH($C118,Produtos!$A$4:$A$103,0)),""))</f>
        <v/>
      </c>
      <c r="P118" s="19">
        <f>IF($C118="","",IFERROR(INDEX(Produtos!$G$4:$G$103,MATCH($C118,Produtos!$A$4:$A$103,0)),""))</f>
        <v/>
      </c>
      <c r="Q118" s="19">
        <f>IF($C118="","",IFERROR(INDEX(Produtos!$H$4:$H$103,MATCH($C118,Produtos!$A$4:$A$103,0)),""))</f>
        <v/>
      </c>
      <c r="R118" s="19">
        <f>IF($C118="","",IFERROR(INDEX(Produtos!$I$4:$I$103,MATCH($C118,Produtos!$A$4:$A$103,0)),""))</f>
        <v/>
      </c>
      <c r="S118" s="28">
        <f>IF($C118="","",IFERROR(INDEX(Produtos!$J$4:$J$103,MATCH($C118,Produtos!$A$4:$A$103,0)),""))</f>
        <v/>
      </c>
      <c r="T118" s="27">
        <f>IF($AG118&lt;&gt;"Pronta","",IFERROR(IF($F118&lt;=INDEX(Regras!$C$4:$C$103,MATCH($D118,Regras!$A$4:$A$103,0)),INDEX(Regras!$E$4:$E$103,MATCH($D118,Regras!$A$4:$A$103,0)),IF($F118&gt;=INDEX(Regras!$D$4:$D$103,MATCH($D118,Regras!$A$4:$A$103,0)),INDEX(Regras!$F$4:$F$103,MATCH($D118,Regras!$A$4:$A$103,0)),0)),""))</f>
        <v/>
      </c>
      <c r="U118" s="27">
        <f>IF($AG118&lt;&gt;"Pronta","",IFERROR(IF($G118="",0,IF($G118&lt;=$E118*(1-INDEX(Regras!$G$4:$G$103,MATCH($D118,Regras!$A$4:$A$103,0))),INDEX(Regras!$H$4:$H$103,MATCH($D118,Regras!$A$4:$A$103,0)),IF($G118&gt;=$E118*(1+INDEX(Regras!$G$4:$G$103,MATCH($D118,Regras!$A$4:$A$103,0))),INDEX(Regras!$I$4:$I$103,MATCH($D118,Regras!$A$4:$A$103,0)),0))),""))</f>
        <v/>
      </c>
      <c r="V118" s="27">
        <f>IF($AG118&lt;&gt;"Pronta","",IFERROR(IF($H118/$S118&lt;=INDEX(Regras!$J$4:$J$103,MATCH($D118,Regras!$A$4:$A$103,0)),INDEX(Regras!$L$4:$L$103,MATCH($D118,Regras!$A$4:$A$103,0)),IF($H118/$S118&gt;=INDEX(Regras!$K$4:$K$103,MATCH($D118,Regras!$A$4:$A$103,0)),INDEX(Regras!$M$4:$M$103,MATCH($D118,Regras!$A$4:$A$103,0)),0)),""))</f>
        <v/>
      </c>
      <c r="W118" s="27">
        <f>IF($AG118&lt;&gt;"Pronta","",SUM($T118:$V118))</f>
        <v/>
      </c>
      <c r="X118" s="27">
        <f>IF($AG118&lt;&gt;"Pronta","",IFERROR(MAX(-INDEX(Regras!$N$4:$N$103,MATCH($D118,Regras!$A$4:$A$103,0)),MIN(INDEX(Regras!$N$4:$N$103,MATCH($D118,Regras!$A$4:$A$103,0)),$W118)),""))</f>
        <v/>
      </c>
      <c r="Y118" s="19">
        <f>IF($AG118&lt;&gt;"Pronta","",IFERROR(ROUND($E118*(1+$X118),2),""))</f>
        <v/>
      </c>
      <c r="Z118" s="29">
        <f>IF(OR($AG118&lt;&gt;"Pronta",$Q118="",$R118=""),"",IFERROR(ROUND(MIN($R118,MAX($Q118,$Y118)),2),""))</f>
        <v/>
      </c>
      <c r="AA118" s="27">
        <f>IF(OR($E118="",$Z118=""),"",IFERROR($Z118/$E118-1,""))</f>
        <v/>
      </c>
      <c r="AB118" s="26">
        <f>IF($Z118="","",IF($Y118&lt;$Q118,"Piso",IF($Y118&gt;$R118,"Teto","Nenhuma")))</f>
        <v/>
      </c>
      <c r="AC118" s="21">
        <f>IF($A118="","",IF($AG118&lt;&gt;"Pronta","Aguardando dados válidos",_xlfn.TEXTJOIN(" | ",TRUE,IF($T118&gt;0,"Demanda: aumento",IF($T118&lt;0,"Demanda: redução","")),IF($U118&gt;0,"Concorrência: aumento",IF($U118&lt;0,"Concorrência: redução","")),IF($V118&gt;0,"Estoque: aumento",IF($V118&lt;0,"Estoque: redução","")),IF(ABS($W118-$X118)&gt;0.0000001,"Limite da rodada aplicado",""),IF($AB118="Piso","Piso vigente aplicado",IF($AB118="Teto","Teto aplicado","")),IF(AND($T118=0,$U118=0,$V118=0),"Sem gatilho de reajuste",""))))</f>
        <v/>
      </c>
      <c r="AD118" s="21">
        <f>IF(OR($A118="",$AG118&lt;&gt;"Pronta"),"",_xlfn.TEXTJOIN(" | ",TRUE,IF($E118&lt;$Q118,"Preço atual abaixo do piso",""),IF($E118&gt;$R118,"Preço atual acima do teto",""),IF(AND($N118&gt;0,$E118&gt;0,1-$N118/$E118&lt;$O118),"Margem estimada do preço atual abaixo do mínimo",""),IF($G118="","Preço concorrente não informado",""),IF($AB118="Piso","Recomendação travada no piso",""),IF($AB118="Teto","Recomendação travada no teto","")))</f>
        <v/>
      </c>
      <c r="AE118" s="19">
        <f>IF($AG118&lt;&gt;"Pronta","",IF($I118="Aprovar recomendação",$Z118,IF($I118="Manter preço atual",$E118,IF($I118="Definir manualmente",$J118,""))))</f>
        <v/>
      </c>
      <c r="AF118" s="21">
        <f>IF($A118="","",IF($AG118&lt;&gt;"Pronta","Aguardando correção",IF(OR($I118="",$I118="Pendente"),"Decisão pendente",IF(AND($I118="Definir manualmente",OR($J118="",$J118&lt;=0)),"Informe o preço manual",IF(OR($AE118&lt;$Q118,$AE118&gt;$R118),"Preço final fora do piso/teto","OK")))))</f>
        <v/>
      </c>
      <c r="AG118" s="26">
        <f>IF(COUNTA($A118:$K118)=0,"",IF(OR($A118="",$B118="",$C118="",$D118="",$E118="",$F118="",$H118=""),"Incompleta",IF(OR(COUNTIF($A$5:$A$204,$A118)&gt;1,NOT(ISNUMBER($B118)),COUNTIF(Produtos!$A$4:$A$103,$C118)&lt;&gt;1,IFERROR(INDEX(Produtos!$K$4:$K$103,MATCH($C118,Produtos!$A$4:$A$103,0))&lt;&gt;"Ativo",TRUE),IFERROR(INDEX(Produtos!$L$4:$L$103,MATCH($C118,Produtos!$A$4:$A$103,0))&lt;&gt;"OK",TRUE),COUNTIF(Regras!$A$4:$A$103,$D118)&lt;&gt;1,IFERROR(INDEX(Regras!$O$4:$O$103,MATCH($D118,Regras!$A$4:$A$103,0))&lt;&gt;"Sim",TRUE),IFERROR(INDEX(Regras!$P$4:$P$103,MATCH($D118,Regras!$A$4:$A$103,0))&lt;&gt;"OK",TRUE),NOT(ISNUMBER($E118)),$E118&lt;=0,NOT(ISNUMBER($F118)),$F118&lt;0,$F118&gt;5,NOT(ISNUMBER($H118)),$H118&lt;0,$H118&lt;&gt;INT($H118),AND($G118&lt;&gt;"",OR(NOT(ISNUMBER($G118)),$G118&lt;=0))),"Revisar","Pronta")))</f>
        <v/>
      </c>
    </row>
    <row r="119">
      <c r="A119" s="16" t="n"/>
      <c r="B119" s="24" t="n"/>
      <c r="C119" s="16" t="n"/>
      <c r="D119" s="16" t="n"/>
      <c r="E119" s="17" t="n"/>
      <c r="F119" s="18" t="n"/>
      <c r="G119" s="17" t="n"/>
      <c r="H119" s="20" t="n"/>
      <c r="I119" s="16" t="n"/>
      <c r="J119" s="17" t="n"/>
      <c r="K119" s="25" t="n"/>
      <c r="L119" s="26">
        <f>IF($C119="","",IFERROR(INDEX(Produtos!$B$4:$B$103,MATCH($C119,Produtos!$A$4:$A$103,0)),""))</f>
        <v/>
      </c>
      <c r="M119" s="26">
        <f>IF($C119="","",IFERROR(INDEX(Produtos!$C$4:$C$103,MATCH($C119,Produtos!$A$4:$A$103,0)),""))</f>
        <v/>
      </c>
      <c r="N119" s="19">
        <f>IF($C119="","",IFERROR(INDEX(Produtos!$D$4:$D$103,MATCH($C119,Produtos!$A$4:$A$103,0)),""))</f>
        <v/>
      </c>
      <c r="O119" s="27">
        <f>IF($C119="","",IFERROR(INDEX(Produtos!$E$4:$E$103,MATCH($C119,Produtos!$A$4:$A$103,0)),""))</f>
        <v/>
      </c>
      <c r="P119" s="19">
        <f>IF($C119="","",IFERROR(INDEX(Produtos!$G$4:$G$103,MATCH($C119,Produtos!$A$4:$A$103,0)),""))</f>
        <v/>
      </c>
      <c r="Q119" s="19">
        <f>IF($C119="","",IFERROR(INDEX(Produtos!$H$4:$H$103,MATCH($C119,Produtos!$A$4:$A$103,0)),""))</f>
        <v/>
      </c>
      <c r="R119" s="19">
        <f>IF($C119="","",IFERROR(INDEX(Produtos!$I$4:$I$103,MATCH($C119,Produtos!$A$4:$A$103,0)),""))</f>
        <v/>
      </c>
      <c r="S119" s="28">
        <f>IF($C119="","",IFERROR(INDEX(Produtos!$J$4:$J$103,MATCH($C119,Produtos!$A$4:$A$103,0)),""))</f>
        <v/>
      </c>
      <c r="T119" s="27">
        <f>IF($AG119&lt;&gt;"Pronta","",IFERROR(IF($F119&lt;=INDEX(Regras!$C$4:$C$103,MATCH($D119,Regras!$A$4:$A$103,0)),INDEX(Regras!$E$4:$E$103,MATCH($D119,Regras!$A$4:$A$103,0)),IF($F119&gt;=INDEX(Regras!$D$4:$D$103,MATCH($D119,Regras!$A$4:$A$103,0)),INDEX(Regras!$F$4:$F$103,MATCH($D119,Regras!$A$4:$A$103,0)),0)),""))</f>
        <v/>
      </c>
      <c r="U119" s="27">
        <f>IF($AG119&lt;&gt;"Pronta","",IFERROR(IF($G119="",0,IF($G119&lt;=$E119*(1-INDEX(Regras!$G$4:$G$103,MATCH($D119,Regras!$A$4:$A$103,0))),INDEX(Regras!$H$4:$H$103,MATCH($D119,Regras!$A$4:$A$103,0)),IF($G119&gt;=$E119*(1+INDEX(Regras!$G$4:$G$103,MATCH($D119,Regras!$A$4:$A$103,0))),INDEX(Regras!$I$4:$I$103,MATCH($D119,Regras!$A$4:$A$103,0)),0))),""))</f>
        <v/>
      </c>
      <c r="V119" s="27">
        <f>IF($AG119&lt;&gt;"Pronta","",IFERROR(IF($H119/$S119&lt;=INDEX(Regras!$J$4:$J$103,MATCH($D119,Regras!$A$4:$A$103,0)),INDEX(Regras!$L$4:$L$103,MATCH($D119,Regras!$A$4:$A$103,0)),IF($H119/$S119&gt;=INDEX(Regras!$K$4:$K$103,MATCH($D119,Regras!$A$4:$A$103,0)),INDEX(Regras!$M$4:$M$103,MATCH($D119,Regras!$A$4:$A$103,0)),0)),""))</f>
        <v/>
      </c>
      <c r="W119" s="27">
        <f>IF($AG119&lt;&gt;"Pronta","",SUM($T119:$V119))</f>
        <v/>
      </c>
      <c r="X119" s="27">
        <f>IF($AG119&lt;&gt;"Pronta","",IFERROR(MAX(-INDEX(Regras!$N$4:$N$103,MATCH($D119,Regras!$A$4:$A$103,0)),MIN(INDEX(Regras!$N$4:$N$103,MATCH($D119,Regras!$A$4:$A$103,0)),$W119)),""))</f>
        <v/>
      </c>
      <c r="Y119" s="19">
        <f>IF($AG119&lt;&gt;"Pronta","",IFERROR(ROUND($E119*(1+$X119),2),""))</f>
        <v/>
      </c>
      <c r="Z119" s="29">
        <f>IF(OR($AG119&lt;&gt;"Pronta",$Q119="",$R119=""),"",IFERROR(ROUND(MIN($R119,MAX($Q119,$Y119)),2),""))</f>
        <v/>
      </c>
      <c r="AA119" s="27">
        <f>IF(OR($E119="",$Z119=""),"",IFERROR($Z119/$E119-1,""))</f>
        <v/>
      </c>
      <c r="AB119" s="26">
        <f>IF($Z119="","",IF($Y119&lt;$Q119,"Piso",IF($Y119&gt;$R119,"Teto","Nenhuma")))</f>
        <v/>
      </c>
      <c r="AC119" s="21">
        <f>IF($A119="","",IF($AG119&lt;&gt;"Pronta","Aguardando dados válidos",_xlfn.TEXTJOIN(" | ",TRUE,IF($T119&gt;0,"Demanda: aumento",IF($T119&lt;0,"Demanda: redução","")),IF($U119&gt;0,"Concorrência: aumento",IF($U119&lt;0,"Concorrência: redução","")),IF($V119&gt;0,"Estoque: aumento",IF($V119&lt;0,"Estoque: redução","")),IF(ABS($W119-$X119)&gt;0.0000001,"Limite da rodada aplicado",""),IF($AB119="Piso","Piso vigente aplicado",IF($AB119="Teto","Teto aplicado","")),IF(AND($T119=0,$U119=0,$V119=0),"Sem gatilho de reajuste",""))))</f>
        <v/>
      </c>
      <c r="AD119" s="21">
        <f>IF(OR($A119="",$AG119&lt;&gt;"Pronta"),"",_xlfn.TEXTJOIN(" | ",TRUE,IF($E119&lt;$Q119,"Preço atual abaixo do piso",""),IF($E119&gt;$R119,"Preço atual acima do teto",""),IF(AND($N119&gt;0,$E119&gt;0,1-$N119/$E119&lt;$O119),"Margem estimada do preço atual abaixo do mínimo",""),IF($G119="","Preço concorrente não informado",""),IF($AB119="Piso","Recomendação travada no piso",""),IF($AB119="Teto","Recomendação travada no teto","")))</f>
        <v/>
      </c>
      <c r="AE119" s="19">
        <f>IF($AG119&lt;&gt;"Pronta","",IF($I119="Aprovar recomendação",$Z119,IF($I119="Manter preço atual",$E119,IF($I119="Definir manualmente",$J119,""))))</f>
        <v/>
      </c>
      <c r="AF119" s="21">
        <f>IF($A119="","",IF($AG119&lt;&gt;"Pronta","Aguardando correção",IF(OR($I119="",$I119="Pendente"),"Decisão pendente",IF(AND($I119="Definir manualmente",OR($J119="",$J119&lt;=0)),"Informe o preço manual",IF(OR($AE119&lt;$Q119,$AE119&gt;$R119),"Preço final fora do piso/teto","OK")))))</f>
        <v/>
      </c>
      <c r="AG119" s="26">
        <f>IF(COUNTA($A119:$K119)=0,"",IF(OR($A119="",$B119="",$C119="",$D119="",$E119="",$F119="",$H119=""),"Incompleta",IF(OR(COUNTIF($A$5:$A$204,$A119)&gt;1,NOT(ISNUMBER($B119)),COUNTIF(Produtos!$A$4:$A$103,$C119)&lt;&gt;1,IFERROR(INDEX(Produtos!$K$4:$K$103,MATCH($C119,Produtos!$A$4:$A$103,0))&lt;&gt;"Ativo",TRUE),IFERROR(INDEX(Produtos!$L$4:$L$103,MATCH($C119,Produtos!$A$4:$A$103,0))&lt;&gt;"OK",TRUE),COUNTIF(Regras!$A$4:$A$103,$D119)&lt;&gt;1,IFERROR(INDEX(Regras!$O$4:$O$103,MATCH($D119,Regras!$A$4:$A$103,0))&lt;&gt;"Sim",TRUE),IFERROR(INDEX(Regras!$P$4:$P$103,MATCH($D119,Regras!$A$4:$A$103,0))&lt;&gt;"OK",TRUE),NOT(ISNUMBER($E119)),$E119&lt;=0,NOT(ISNUMBER($F119)),$F119&lt;0,$F119&gt;5,NOT(ISNUMBER($H119)),$H119&lt;0,$H119&lt;&gt;INT($H119),AND($G119&lt;&gt;"",OR(NOT(ISNUMBER($G119)),$G119&lt;=0))),"Revisar","Pronta")))</f>
        <v/>
      </c>
    </row>
    <row r="120">
      <c r="A120" s="16" t="n"/>
      <c r="B120" s="24" t="n"/>
      <c r="C120" s="16" t="n"/>
      <c r="D120" s="16" t="n"/>
      <c r="E120" s="17" t="n"/>
      <c r="F120" s="18" t="n"/>
      <c r="G120" s="17" t="n"/>
      <c r="H120" s="20" t="n"/>
      <c r="I120" s="16" t="n"/>
      <c r="J120" s="17" t="n"/>
      <c r="K120" s="25" t="n"/>
      <c r="L120" s="26">
        <f>IF($C120="","",IFERROR(INDEX(Produtos!$B$4:$B$103,MATCH($C120,Produtos!$A$4:$A$103,0)),""))</f>
        <v/>
      </c>
      <c r="M120" s="26">
        <f>IF($C120="","",IFERROR(INDEX(Produtos!$C$4:$C$103,MATCH($C120,Produtos!$A$4:$A$103,0)),""))</f>
        <v/>
      </c>
      <c r="N120" s="19">
        <f>IF($C120="","",IFERROR(INDEX(Produtos!$D$4:$D$103,MATCH($C120,Produtos!$A$4:$A$103,0)),""))</f>
        <v/>
      </c>
      <c r="O120" s="27">
        <f>IF($C120="","",IFERROR(INDEX(Produtos!$E$4:$E$103,MATCH($C120,Produtos!$A$4:$A$103,0)),""))</f>
        <v/>
      </c>
      <c r="P120" s="19">
        <f>IF($C120="","",IFERROR(INDEX(Produtos!$G$4:$G$103,MATCH($C120,Produtos!$A$4:$A$103,0)),""))</f>
        <v/>
      </c>
      <c r="Q120" s="19">
        <f>IF($C120="","",IFERROR(INDEX(Produtos!$H$4:$H$103,MATCH($C120,Produtos!$A$4:$A$103,0)),""))</f>
        <v/>
      </c>
      <c r="R120" s="19">
        <f>IF($C120="","",IFERROR(INDEX(Produtos!$I$4:$I$103,MATCH($C120,Produtos!$A$4:$A$103,0)),""))</f>
        <v/>
      </c>
      <c r="S120" s="28">
        <f>IF($C120="","",IFERROR(INDEX(Produtos!$J$4:$J$103,MATCH($C120,Produtos!$A$4:$A$103,0)),""))</f>
        <v/>
      </c>
      <c r="T120" s="27">
        <f>IF($AG120&lt;&gt;"Pronta","",IFERROR(IF($F120&lt;=INDEX(Regras!$C$4:$C$103,MATCH($D120,Regras!$A$4:$A$103,0)),INDEX(Regras!$E$4:$E$103,MATCH($D120,Regras!$A$4:$A$103,0)),IF($F120&gt;=INDEX(Regras!$D$4:$D$103,MATCH($D120,Regras!$A$4:$A$103,0)),INDEX(Regras!$F$4:$F$103,MATCH($D120,Regras!$A$4:$A$103,0)),0)),""))</f>
        <v/>
      </c>
      <c r="U120" s="27">
        <f>IF($AG120&lt;&gt;"Pronta","",IFERROR(IF($G120="",0,IF($G120&lt;=$E120*(1-INDEX(Regras!$G$4:$G$103,MATCH($D120,Regras!$A$4:$A$103,0))),INDEX(Regras!$H$4:$H$103,MATCH($D120,Regras!$A$4:$A$103,0)),IF($G120&gt;=$E120*(1+INDEX(Regras!$G$4:$G$103,MATCH($D120,Regras!$A$4:$A$103,0))),INDEX(Regras!$I$4:$I$103,MATCH($D120,Regras!$A$4:$A$103,0)),0))),""))</f>
        <v/>
      </c>
      <c r="V120" s="27">
        <f>IF($AG120&lt;&gt;"Pronta","",IFERROR(IF($H120/$S120&lt;=INDEX(Regras!$J$4:$J$103,MATCH($D120,Regras!$A$4:$A$103,0)),INDEX(Regras!$L$4:$L$103,MATCH($D120,Regras!$A$4:$A$103,0)),IF($H120/$S120&gt;=INDEX(Regras!$K$4:$K$103,MATCH($D120,Regras!$A$4:$A$103,0)),INDEX(Regras!$M$4:$M$103,MATCH($D120,Regras!$A$4:$A$103,0)),0)),""))</f>
        <v/>
      </c>
      <c r="W120" s="27">
        <f>IF($AG120&lt;&gt;"Pronta","",SUM($T120:$V120))</f>
        <v/>
      </c>
      <c r="X120" s="27">
        <f>IF($AG120&lt;&gt;"Pronta","",IFERROR(MAX(-INDEX(Regras!$N$4:$N$103,MATCH($D120,Regras!$A$4:$A$103,0)),MIN(INDEX(Regras!$N$4:$N$103,MATCH($D120,Regras!$A$4:$A$103,0)),$W120)),""))</f>
        <v/>
      </c>
      <c r="Y120" s="19">
        <f>IF($AG120&lt;&gt;"Pronta","",IFERROR(ROUND($E120*(1+$X120),2),""))</f>
        <v/>
      </c>
      <c r="Z120" s="29">
        <f>IF(OR($AG120&lt;&gt;"Pronta",$Q120="",$R120=""),"",IFERROR(ROUND(MIN($R120,MAX($Q120,$Y120)),2),""))</f>
        <v/>
      </c>
      <c r="AA120" s="27">
        <f>IF(OR($E120="",$Z120=""),"",IFERROR($Z120/$E120-1,""))</f>
        <v/>
      </c>
      <c r="AB120" s="26">
        <f>IF($Z120="","",IF($Y120&lt;$Q120,"Piso",IF($Y120&gt;$R120,"Teto","Nenhuma")))</f>
        <v/>
      </c>
      <c r="AC120" s="21">
        <f>IF($A120="","",IF($AG120&lt;&gt;"Pronta","Aguardando dados válidos",_xlfn.TEXTJOIN(" | ",TRUE,IF($T120&gt;0,"Demanda: aumento",IF($T120&lt;0,"Demanda: redução","")),IF($U120&gt;0,"Concorrência: aumento",IF($U120&lt;0,"Concorrência: redução","")),IF($V120&gt;0,"Estoque: aumento",IF($V120&lt;0,"Estoque: redução","")),IF(ABS($W120-$X120)&gt;0.0000001,"Limite da rodada aplicado",""),IF($AB120="Piso","Piso vigente aplicado",IF($AB120="Teto","Teto aplicado","")),IF(AND($T120=0,$U120=0,$V120=0),"Sem gatilho de reajuste",""))))</f>
        <v/>
      </c>
      <c r="AD120" s="21">
        <f>IF(OR($A120="",$AG120&lt;&gt;"Pronta"),"",_xlfn.TEXTJOIN(" | ",TRUE,IF($E120&lt;$Q120,"Preço atual abaixo do piso",""),IF($E120&gt;$R120,"Preço atual acima do teto",""),IF(AND($N120&gt;0,$E120&gt;0,1-$N120/$E120&lt;$O120),"Margem estimada do preço atual abaixo do mínimo",""),IF($G120="","Preço concorrente não informado",""),IF($AB120="Piso","Recomendação travada no piso",""),IF($AB120="Teto","Recomendação travada no teto","")))</f>
        <v/>
      </c>
      <c r="AE120" s="19">
        <f>IF($AG120&lt;&gt;"Pronta","",IF($I120="Aprovar recomendação",$Z120,IF($I120="Manter preço atual",$E120,IF($I120="Definir manualmente",$J120,""))))</f>
        <v/>
      </c>
      <c r="AF120" s="21">
        <f>IF($A120="","",IF($AG120&lt;&gt;"Pronta","Aguardando correção",IF(OR($I120="",$I120="Pendente"),"Decisão pendente",IF(AND($I120="Definir manualmente",OR($J120="",$J120&lt;=0)),"Informe o preço manual",IF(OR($AE120&lt;$Q120,$AE120&gt;$R120),"Preço final fora do piso/teto","OK")))))</f>
        <v/>
      </c>
      <c r="AG120" s="26">
        <f>IF(COUNTA($A120:$K120)=0,"",IF(OR($A120="",$B120="",$C120="",$D120="",$E120="",$F120="",$H120=""),"Incompleta",IF(OR(COUNTIF($A$5:$A$204,$A120)&gt;1,NOT(ISNUMBER($B120)),COUNTIF(Produtos!$A$4:$A$103,$C120)&lt;&gt;1,IFERROR(INDEX(Produtos!$K$4:$K$103,MATCH($C120,Produtos!$A$4:$A$103,0))&lt;&gt;"Ativo",TRUE),IFERROR(INDEX(Produtos!$L$4:$L$103,MATCH($C120,Produtos!$A$4:$A$103,0))&lt;&gt;"OK",TRUE),COUNTIF(Regras!$A$4:$A$103,$D120)&lt;&gt;1,IFERROR(INDEX(Regras!$O$4:$O$103,MATCH($D120,Regras!$A$4:$A$103,0))&lt;&gt;"Sim",TRUE),IFERROR(INDEX(Regras!$P$4:$P$103,MATCH($D120,Regras!$A$4:$A$103,0))&lt;&gt;"OK",TRUE),NOT(ISNUMBER($E120)),$E120&lt;=0,NOT(ISNUMBER($F120)),$F120&lt;0,$F120&gt;5,NOT(ISNUMBER($H120)),$H120&lt;0,$H120&lt;&gt;INT($H120),AND($G120&lt;&gt;"",OR(NOT(ISNUMBER($G120)),$G120&lt;=0))),"Revisar","Pronta")))</f>
        <v/>
      </c>
    </row>
    <row r="121">
      <c r="A121" s="16" t="n"/>
      <c r="B121" s="24" t="n"/>
      <c r="C121" s="16" t="n"/>
      <c r="D121" s="16" t="n"/>
      <c r="E121" s="17" t="n"/>
      <c r="F121" s="18" t="n"/>
      <c r="G121" s="17" t="n"/>
      <c r="H121" s="20" t="n"/>
      <c r="I121" s="16" t="n"/>
      <c r="J121" s="17" t="n"/>
      <c r="K121" s="25" t="n"/>
      <c r="L121" s="26">
        <f>IF($C121="","",IFERROR(INDEX(Produtos!$B$4:$B$103,MATCH($C121,Produtos!$A$4:$A$103,0)),""))</f>
        <v/>
      </c>
      <c r="M121" s="26">
        <f>IF($C121="","",IFERROR(INDEX(Produtos!$C$4:$C$103,MATCH($C121,Produtos!$A$4:$A$103,0)),""))</f>
        <v/>
      </c>
      <c r="N121" s="19">
        <f>IF($C121="","",IFERROR(INDEX(Produtos!$D$4:$D$103,MATCH($C121,Produtos!$A$4:$A$103,0)),""))</f>
        <v/>
      </c>
      <c r="O121" s="27">
        <f>IF($C121="","",IFERROR(INDEX(Produtos!$E$4:$E$103,MATCH($C121,Produtos!$A$4:$A$103,0)),""))</f>
        <v/>
      </c>
      <c r="P121" s="19">
        <f>IF($C121="","",IFERROR(INDEX(Produtos!$G$4:$G$103,MATCH($C121,Produtos!$A$4:$A$103,0)),""))</f>
        <v/>
      </c>
      <c r="Q121" s="19">
        <f>IF($C121="","",IFERROR(INDEX(Produtos!$H$4:$H$103,MATCH($C121,Produtos!$A$4:$A$103,0)),""))</f>
        <v/>
      </c>
      <c r="R121" s="19">
        <f>IF($C121="","",IFERROR(INDEX(Produtos!$I$4:$I$103,MATCH($C121,Produtos!$A$4:$A$103,0)),""))</f>
        <v/>
      </c>
      <c r="S121" s="28">
        <f>IF($C121="","",IFERROR(INDEX(Produtos!$J$4:$J$103,MATCH($C121,Produtos!$A$4:$A$103,0)),""))</f>
        <v/>
      </c>
      <c r="T121" s="27">
        <f>IF($AG121&lt;&gt;"Pronta","",IFERROR(IF($F121&lt;=INDEX(Regras!$C$4:$C$103,MATCH($D121,Regras!$A$4:$A$103,0)),INDEX(Regras!$E$4:$E$103,MATCH($D121,Regras!$A$4:$A$103,0)),IF($F121&gt;=INDEX(Regras!$D$4:$D$103,MATCH($D121,Regras!$A$4:$A$103,0)),INDEX(Regras!$F$4:$F$103,MATCH($D121,Regras!$A$4:$A$103,0)),0)),""))</f>
        <v/>
      </c>
      <c r="U121" s="27">
        <f>IF($AG121&lt;&gt;"Pronta","",IFERROR(IF($G121="",0,IF($G121&lt;=$E121*(1-INDEX(Regras!$G$4:$G$103,MATCH($D121,Regras!$A$4:$A$103,0))),INDEX(Regras!$H$4:$H$103,MATCH($D121,Regras!$A$4:$A$103,0)),IF($G121&gt;=$E121*(1+INDEX(Regras!$G$4:$G$103,MATCH($D121,Regras!$A$4:$A$103,0))),INDEX(Regras!$I$4:$I$103,MATCH($D121,Regras!$A$4:$A$103,0)),0))),""))</f>
        <v/>
      </c>
      <c r="V121" s="27">
        <f>IF($AG121&lt;&gt;"Pronta","",IFERROR(IF($H121/$S121&lt;=INDEX(Regras!$J$4:$J$103,MATCH($D121,Regras!$A$4:$A$103,0)),INDEX(Regras!$L$4:$L$103,MATCH($D121,Regras!$A$4:$A$103,0)),IF($H121/$S121&gt;=INDEX(Regras!$K$4:$K$103,MATCH($D121,Regras!$A$4:$A$103,0)),INDEX(Regras!$M$4:$M$103,MATCH($D121,Regras!$A$4:$A$103,0)),0)),""))</f>
        <v/>
      </c>
      <c r="W121" s="27">
        <f>IF($AG121&lt;&gt;"Pronta","",SUM($T121:$V121))</f>
        <v/>
      </c>
      <c r="X121" s="27">
        <f>IF($AG121&lt;&gt;"Pronta","",IFERROR(MAX(-INDEX(Regras!$N$4:$N$103,MATCH($D121,Regras!$A$4:$A$103,0)),MIN(INDEX(Regras!$N$4:$N$103,MATCH($D121,Regras!$A$4:$A$103,0)),$W121)),""))</f>
        <v/>
      </c>
      <c r="Y121" s="19">
        <f>IF($AG121&lt;&gt;"Pronta","",IFERROR(ROUND($E121*(1+$X121),2),""))</f>
        <v/>
      </c>
      <c r="Z121" s="29">
        <f>IF(OR($AG121&lt;&gt;"Pronta",$Q121="",$R121=""),"",IFERROR(ROUND(MIN($R121,MAX($Q121,$Y121)),2),""))</f>
        <v/>
      </c>
      <c r="AA121" s="27">
        <f>IF(OR($E121="",$Z121=""),"",IFERROR($Z121/$E121-1,""))</f>
        <v/>
      </c>
      <c r="AB121" s="26">
        <f>IF($Z121="","",IF($Y121&lt;$Q121,"Piso",IF($Y121&gt;$R121,"Teto","Nenhuma")))</f>
        <v/>
      </c>
      <c r="AC121" s="21">
        <f>IF($A121="","",IF($AG121&lt;&gt;"Pronta","Aguardando dados válidos",_xlfn.TEXTJOIN(" | ",TRUE,IF($T121&gt;0,"Demanda: aumento",IF($T121&lt;0,"Demanda: redução","")),IF($U121&gt;0,"Concorrência: aumento",IF($U121&lt;0,"Concorrência: redução","")),IF($V121&gt;0,"Estoque: aumento",IF($V121&lt;0,"Estoque: redução","")),IF(ABS($W121-$X121)&gt;0.0000001,"Limite da rodada aplicado",""),IF($AB121="Piso","Piso vigente aplicado",IF($AB121="Teto","Teto aplicado","")),IF(AND($T121=0,$U121=0,$V121=0),"Sem gatilho de reajuste",""))))</f>
        <v/>
      </c>
      <c r="AD121" s="21">
        <f>IF(OR($A121="",$AG121&lt;&gt;"Pronta"),"",_xlfn.TEXTJOIN(" | ",TRUE,IF($E121&lt;$Q121,"Preço atual abaixo do piso",""),IF($E121&gt;$R121,"Preço atual acima do teto",""),IF(AND($N121&gt;0,$E121&gt;0,1-$N121/$E121&lt;$O121),"Margem estimada do preço atual abaixo do mínimo",""),IF($G121="","Preço concorrente não informado",""),IF($AB121="Piso","Recomendação travada no piso",""),IF($AB121="Teto","Recomendação travada no teto","")))</f>
        <v/>
      </c>
      <c r="AE121" s="19">
        <f>IF($AG121&lt;&gt;"Pronta","",IF($I121="Aprovar recomendação",$Z121,IF($I121="Manter preço atual",$E121,IF($I121="Definir manualmente",$J121,""))))</f>
        <v/>
      </c>
      <c r="AF121" s="21">
        <f>IF($A121="","",IF($AG121&lt;&gt;"Pronta","Aguardando correção",IF(OR($I121="",$I121="Pendente"),"Decisão pendente",IF(AND($I121="Definir manualmente",OR($J121="",$J121&lt;=0)),"Informe o preço manual",IF(OR($AE121&lt;$Q121,$AE121&gt;$R121),"Preço final fora do piso/teto","OK")))))</f>
        <v/>
      </c>
      <c r="AG121" s="26">
        <f>IF(COUNTA($A121:$K121)=0,"",IF(OR($A121="",$B121="",$C121="",$D121="",$E121="",$F121="",$H121=""),"Incompleta",IF(OR(COUNTIF($A$5:$A$204,$A121)&gt;1,NOT(ISNUMBER($B121)),COUNTIF(Produtos!$A$4:$A$103,$C121)&lt;&gt;1,IFERROR(INDEX(Produtos!$K$4:$K$103,MATCH($C121,Produtos!$A$4:$A$103,0))&lt;&gt;"Ativo",TRUE),IFERROR(INDEX(Produtos!$L$4:$L$103,MATCH($C121,Produtos!$A$4:$A$103,0))&lt;&gt;"OK",TRUE),COUNTIF(Regras!$A$4:$A$103,$D121)&lt;&gt;1,IFERROR(INDEX(Regras!$O$4:$O$103,MATCH($D121,Regras!$A$4:$A$103,0))&lt;&gt;"Sim",TRUE),IFERROR(INDEX(Regras!$P$4:$P$103,MATCH($D121,Regras!$A$4:$A$103,0))&lt;&gt;"OK",TRUE),NOT(ISNUMBER($E121)),$E121&lt;=0,NOT(ISNUMBER($F121)),$F121&lt;0,$F121&gt;5,NOT(ISNUMBER($H121)),$H121&lt;0,$H121&lt;&gt;INT($H121),AND($G121&lt;&gt;"",OR(NOT(ISNUMBER($G121)),$G121&lt;=0))),"Revisar","Pronta")))</f>
        <v/>
      </c>
    </row>
    <row r="122">
      <c r="A122" s="16" t="n"/>
      <c r="B122" s="24" t="n"/>
      <c r="C122" s="16" t="n"/>
      <c r="D122" s="16" t="n"/>
      <c r="E122" s="17" t="n"/>
      <c r="F122" s="18" t="n"/>
      <c r="G122" s="17" t="n"/>
      <c r="H122" s="20" t="n"/>
      <c r="I122" s="16" t="n"/>
      <c r="J122" s="17" t="n"/>
      <c r="K122" s="25" t="n"/>
      <c r="L122" s="26">
        <f>IF($C122="","",IFERROR(INDEX(Produtos!$B$4:$B$103,MATCH($C122,Produtos!$A$4:$A$103,0)),""))</f>
        <v/>
      </c>
      <c r="M122" s="26">
        <f>IF($C122="","",IFERROR(INDEX(Produtos!$C$4:$C$103,MATCH($C122,Produtos!$A$4:$A$103,0)),""))</f>
        <v/>
      </c>
      <c r="N122" s="19">
        <f>IF($C122="","",IFERROR(INDEX(Produtos!$D$4:$D$103,MATCH($C122,Produtos!$A$4:$A$103,0)),""))</f>
        <v/>
      </c>
      <c r="O122" s="27">
        <f>IF($C122="","",IFERROR(INDEX(Produtos!$E$4:$E$103,MATCH($C122,Produtos!$A$4:$A$103,0)),""))</f>
        <v/>
      </c>
      <c r="P122" s="19">
        <f>IF($C122="","",IFERROR(INDEX(Produtos!$G$4:$G$103,MATCH($C122,Produtos!$A$4:$A$103,0)),""))</f>
        <v/>
      </c>
      <c r="Q122" s="19">
        <f>IF($C122="","",IFERROR(INDEX(Produtos!$H$4:$H$103,MATCH($C122,Produtos!$A$4:$A$103,0)),""))</f>
        <v/>
      </c>
      <c r="R122" s="19">
        <f>IF($C122="","",IFERROR(INDEX(Produtos!$I$4:$I$103,MATCH($C122,Produtos!$A$4:$A$103,0)),""))</f>
        <v/>
      </c>
      <c r="S122" s="28">
        <f>IF($C122="","",IFERROR(INDEX(Produtos!$J$4:$J$103,MATCH($C122,Produtos!$A$4:$A$103,0)),""))</f>
        <v/>
      </c>
      <c r="T122" s="27">
        <f>IF($AG122&lt;&gt;"Pronta","",IFERROR(IF($F122&lt;=INDEX(Regras!$C$4:$C$103,MATCH($D122,Regras!$A$4:$A$103,0)),INDEX(Regras!$E$4:$E$103,MATCH($D122,Regras!$A$4:$A$103,0)),IF($F122&gt;=INDEX(Regras!$D$4:$D$103,MATCH($D122,Regras!$A$4:$A$103,0)),INDEX(Regras!$F$4:$F$103,MATCH($D122,Regras!$A$4:$A$103,0)),0)),""))</f>
        <v/>
      </c>
      <c r="U122" s="27">
        <f>IF($AG122&lt;&gt;"Pronta","",IFERROR(IF($G122="",0,IF($G122&lt;=$E122*(1-INDEX(Regras!$G$4:$G$103,MATCH($D122,Regras!$A$4:$A$103,0))),INDEX(Regras!$H$4:$H$103,MATCH($D122,Regras!$A$4:$A$103,0)),IF($G122&gt;=$E122*(1+INDEX(Regras!$G$4:$G$103,MATCH($D122,Regras!$A$4:$A$103,0))),INDEX(Regras!$I$4:$I$103,MATCH($D122,Regras!$A$4:$A$103,0)),0))),""))</f>
        <v/>
      </c>
      <c r="V122" s="27">
        <f>IF($AG122&lt;&gt;"Pronta","",IFERROR(IF($H122/$S122&lt;=INDEX(Regras!$J$4:$J$103,MATCH($D122,Regras!$A$4:$A$103,0)),INDEX(Regras!$L$4:$L$103,MATCH($D122,Regras!$A$4:$A$103,0)),IF($H122/$S122&gt;=INDEX(Regras!$K$4:$K$103,MATCH($D122,Regras!$A$4:$A$103,0)),INDEX(Regras!$M$4:$M$103,MATCH($D122,Regras!$A$4:$A$103,0)),0)),""))</f>
        <v/>
      </c>
      <c r="W122" s="27">
        <f>IF($AG122&lt;&gt;"Pronta","",SUM($T122:$V122))</f>
        <v/>
      </c>
      <c r="X122" s="27">
        <f>IF($AG122&lt;&gt;"Pronta","",IFERROR(MAX(-INDEX(Regras!$N$4:$N$103,MATCH($D122,Regras!$A$4:$A$103,0)),MIN(INDEX(Regras!$N$4:$N$103,MATCH($D122,Regras!$A$4:$A$103,0)),$W122)),""))</f>
        <v/>
      </c>
      <c r="Y122" s="19">
        <f>IF($AG122&lt;&gt;"Pronta","",IFERROR(ROUND($E122*(1+$X122),2),""))</f>
        <v/>
      </c>
      <c r="Z122" s="29">
        <f>IF(OR($AG122&lt;&gt;"Pronta",$Q122="",$R122=""),"",IFERROR(ROUND(MIN($R122,MAX($Q122,$Y122)),2),""))</f>
        <v/>
      </c>
      <c r="AA122" s="27">
        <f>IF(OR($E122="",$Z122=""),"",IFERROR($Z122/$E122-1,""))</f>
        <v/>
      </c>
      <c r="AB122" s="26">
        <f>IF($Z122="","",IF($Y122&lt;$Q122,"Piso",IF($Y122&gt;$R122,"Teto","Nenhuma")))</f>
        <v/>
      </c>
      <c r="AC122" s="21">
        <f>IF($A122="","",IF($AG122&lt;&gt;"Pronta","Aguardando dados válidos",_xlfn.TEXTJOIN(" | ",TRUE,IF($T122&gt;0,"Demanda: aumento",IF($T122&lt;0,"Demanda: redução","")),IF($U122&gt;0,"Concorrência: aumento",IF($U122&lt;0,"Concorrência: redução","")),IF($V122&gt;0,"Estoque: aumento",IF($V122&lt;0,"Estoque: redução","")),IF(ABS($W122-$X122)&gt;0.0000001,"Limite da rodada aplicado",""),IF($AB122="Piso","Piso vigente aplicado",IF($AB122="Teto","Teto aplicado","")),IF(AND($T122=0,$U122=0,$V122=0),"Sem gatilho de reajuste",""))))</f>
        <v/>
      </c>
      <c r="AD122" s="21">
        <f>IF(OR($A122="",$AG122&lt;&gt;"Pronta"),"",_xlfn.TEXTJOIN(" | ",TRUE,IF($E122&lt;$Q122,"Preço atual abaixo do piso",""),IF($E122&gt;$R122,"Preço atual acima do teto",""),IF(AND($N122&gt;0,$E122&gt;0,1-$N122/$E122&lt;$O122),"Margem estimada do preço atual abaixo do mínimo",""),IF($G122="","Preço concorrente não informado",""),IF($AB122="Piso","Recomendação travada no piso",""),IF($AB122="Teto","Recomendação travada no teto","")))</f>
        <v/>
      </c>
      <c r="AE122" s="19">
        <f>IF($AG122&lt;&gt;"Pronta","",IF($I122="Aprovar recomendação",$Z122,IF($I122="Manter preço atual",$E122,IF($I122="Definir manualmente",$J122,""))))</f>
        <v/>
      </c>
      <c r="AF122" s="21">
        <f>IF($A122="","",IF($AG122&lt;&gt;"Pronta","Aguardando correção",IF(OR($I122="",$I122="Pendente"),"Decisão pendente",IF(AND($I122="Definir manualmente",OR($J122="",$J122&lt;=0)),"Informe o preço manual",IF(OR($AE122&lt;$Q122,$AE122&gt;$R122),"Preço final fora do piso/teto","OK")))))</f>
        <v/>
      </c>
      <c r="AG122" s="26">
        <f>IF(COUNTA($A122:$K122)=0,"",IF(OR($A122="",$B122="",$C122="",$D122="",$E122="",$F122="",$H122=""),"Incompleta",IF(OR(COUNTIF($A$5:$A$204,$A122)&gt;1,NOT(ISNUMBER($B122)),COUNTIF(Produtos!$A$4:$A$103,$C122)&lt;&gt;1,IFERROR(INDEX(Produtos!$K$4:$K$103,MATCH($C122,Produtos!$A$4:$A$103,0))&lt;&gt;"Ativo",TRUE),IFERROR(INDEX(Produtos!$L$4:$L$103,MATCH($C122,Produtos!$A$4:$A$103,0))&lt;&gt;"OK",TRUE),COUNTIF(Regras!$A$4:$A$103,$D122)&lt;&gt;1,IFERROR(INDEX(Regras!$O$4:$O$103,MATCH($D122,Regras!$A$4:$A$103,0))&lt;&gt;"Sim",TRUE),IFERROR(INDEX(Regras!$P$4:$P$103,MATCH($D122,Regras!$A$4:$A$103,0))&lt;&gt;"OK",TRUE),NOT(ISNUMBER($E122)),$E122&lt;=0,NOT(ISNUMBER($F122)),$F122&lt;0,$F122&gt;5,NOT(ISNUMBER($H122)),$H122&lt;0,$H122&lt;&gt;INT($H122),AND($G122&lt;&gt;"",OR(NOT(ISNUMBER($G122)),$G122&lt;=0))),"Revisar","Pronta")))</f>
        <v/>
      </c>
    </row>
    <row r="123">
      <c r="A123" s="16" t="n"/>
      <c r="B123" s="24" t="n"/>
      <c r="C123" s="16" t="n"/>
      <c r="D123" s="16" t="n"/>
      <c r="E123" s="17" t="n"/>
      <c r="F123" s="18" t="n"/>
      <c r="G123" s="17" t="n"/>
      <c r="H123" s="20" t="n"/>
      <c r="I123" s="16" t="n"/>
      <c r="J123" s="17" t="n"/>
      <c r="K123" s="25" t="n"/>
      <c r="L123" s="26">
        <f>IF($C123="","",IFERROR(INDEX(Produtos!$B$4:$B$103,MATCH($C123,Produtos!$A$4:$A$103,0)),""))</f>
        <v/>
      </c>
      <c r="M123" s="26">
        <f>IF($C123="","",IFERROR(INDEX(Produtos!$C$4:$C$103,MATCH($C123,Produtos!$A$4:$A$103,0)),""))</f>
        <v/>
      </c>
      <c r="N123" s="19">
        <f>IF($C123="","",IFERROR(INDEX(Produtos!$D$4:$D$103,MATCH($C123,Produtos!$A$4:$A$103,0)),""))</f>
        <v/>
      </c>
      <c r="O123" s="27">
        <f>IF($C123="","",IFERROR(INDEX(Produtos!$E$4:$E$103,MATCH($C123,Produtos!$A$4:$A$103,0)),""))</f>
        <v/>
      </c>
      <c r="P123" s="19">
        <f>IF($C123="","",IFERROR(INDEX(Produtos!$G$4:$G$103,MATCH($C123,Produtos!$A$4:$A$103,0)),""))</f>
        <v/>
      </c>
      <c r="Q123" s="19">
        <f>IF($C123="","",IFERROR(INDEX(Produtos!$H$4:$H$103,MATCH($C123,Produtos!$A$4:$A$103,0)),""))</f>
        <v/>
      </c>
      <c r="R123" s="19">
        <f>IF($C123="","",IFERROR(INDEX(Produtos!$I$4:$I$103,MATCH($C123,Produtos!$A$4:$A$103,0)),""))</f>
        <v/>
      </c>
      <c r="S123" s="28">
        <f>IF($C123="","",IFERROR(INDEX(Produtos!$J$4:$J$103,MATCH($C123,Produtos!$A$4:$A$103,0)),""))</f>
        <v/>
      </c>
      <c r="T123" s="27">
        <f>IF($AG123&lt;&gt;"Pronta","",IFERROR(IF($F123&lt;=INDEX(Regras!$C$4:$C$103,MATCH($D123,Regras!$A$4:$A$103,0)),INDEX(Regras!$E$4:$E$103,MATCH($D123,Regras!$A$4:$A$103,0)),IF($F123&gt;=INDEX(Regras!$D$4:$D$103,MATCH($D123,Regras!$A$4:$A$103,0)),INDEX(Regras!$F$4:$F$103,MATCH($D123,Regras!$A$4:$A$103,0)),0)),""))</f>
        <v/>
      </c>
      <c r="U123" s="27">
        <f>IF($AG123&lt;&gt;"Pronta","",IFERROR(IF($G123="",0,IF($G123&lt;=$E123*(1-INDEX(Regras!$G$4:$G$103,MATCH($D123,Regras!$A$4:$A$103,0))),INDEX(Regras!$H$4:$H$103,MATCH($D123,Regras!$A$4:$A$103,0)),IF($G123&gt;=$E123*(1+INDEX(Regras!$G$4:$G$103,MATCH($D123,Regras!$A$4:$A$103,0))),INDEX(Regras!$I$4:$I$103,MATCH($D123,Regras!$A$4:$A$103,0)),0))),""))</f>
        <v/>
      </c>
      <c r="V123" s="27">
        <f>IF($AG123&lt;&gt;"Pronta","",IFERROR(IF($H123/$S123&lt;=INDEX(Regras!$J$4:$J$103,MATCH($D123,Regras!$A$4:$A$103,0)),INDEX(Regras!$L$4:$L$103,MATCH($D123,Regras!$A$4:$A$103,0)),IF($H123/$S123&gt;=INDEX(Regras!$K$4:$K$103,MATCH($D123,Regras!$A$4:$A$103,0)),INDEX(Regras!$M$4:$M$103,MATCH($D123,Regras!$A$4:$A$103,0)),0)),""))</f>
        <v/>
      </c>
      <c r="W123" s="27">
        <f>IF($AG123&lt;&gt;"Pronta","",SUM($T123:$V123))</f>
        <v/>
      </c>
      <c r="X123" s="27">
        <f>IF($AG123&lt;&gt;"Pronta","",IFERROR(MAX(-INDEX(Regras!$N$4:$N$103,MATCH($D123,Regras!$A$4:$A$103,0)),MIN(INDEX(Regras!$N$4:$N$103,MATCH($D123,Regras!$A$4:$A$103,0)),$W123)),""))</f>
        <v/>
      </c>
      <c r="Y123" s="19">
        <f>IF($AG123&lt;&gt;"Pronta","",IFERROR(ROUND($E123*(1+$X123),2),""))</f>
        <v/>
      </c>
      <c r="Z123" s="29">
        <f>IF(OR($AG123&lt;&gt;"Pronta",$Q123="",$R123=""),"",IFERROR(ROUND(MIN($R123,MAX($Q123,$Y123)),2),""))</f>
        <v/>
      </c>
      <c r="AA123" s="27">
        <f>IF(OR($E123="",$Z123=""),"",IFERROR($Z123/$E123-1,""))</f>
        <v/>
      </c>
      <c r="AB123" s="26">
        <f>IF($Z123="","",IF($Y123&lt;$Q123,"Piso",IF($Y123&gt;$R123,"Teto","Nenhuma")))</f>
        <v/>
      </c>
      <c r="AC123" s="21">
        <f>IF($A123="","",IF($AG123&lt;&gt;"Pronta","Aguardando dados válidos",_xlfn.TEXTJOIN(" | ",TRUE,IF($T123&gt;0,"Demanda: aumento",IF($T123&lt;0,"Demanda: redução","")),IF($U123&gt;0,"Concorrência: aumento",IF($U123&lt;0,"Concorrência: redução","")),IF($V123&gt;0,"Estoque: aumento",IF($V123&lt;0,"Estoque: redução","")),IF(ABS($W123-$X123)&gt;0.0000001,"Limite da rodada aplicado",""),IF($AB123="Piso","Piso vigente aplicado",IF($AB123="Teto","Teto aplicado","")),IF(AND($T123=0,$U123=0,$V123=0),"Sem gatilho de reajuste",""))))</f>
        <v/>
      </c>
      <c r="AD123" s="21">
        <f>IF(OR($A123="",$AG123&lt;&gt;"Pronta"),"",_xlfn.TEXTJOIN(" | ",TRUE,IF($E123&lt;$Q123,"Preço atual abaixo do piso",""),IF($E123&gt;$R123,"Preço atual acima do teto",""),IF(AND($N123&gt;0,$E123&gt;0,1-$N123/$E123&lt;$O123),"Margem estimada do preço atual abaixo do mínimo",""),IF($G123="","Preço concorrente não informado",""),IF($AB123="Piso","Recomendação travada no piso",""),IF($AB123="Teto","Recomendação travada no teto","")))</f>
        <v/>
      </c>
      <c r="AE123" s="19">
        <f>IF($AG123&lt;&gt;"Pronta","",IF($I123="Aprovar recomendação",$Z123,IF($I123="Manter preço atual",$E123,IF($I123="Definir manualmente",$J123,""))))</f>
        <v/>
      </c>
      <c r="AF123" s="21">
        <f>IF($A123="","",IF($AG123&lt;&gt;"Pronta","Aguardando correção",IF(OR($I123="",$I123="Pendente"),"Decisão pendente",IF(AND($I123="Definir manualmente",OR($J123="",$J123&lt;=0)),"Informe o preço manual",IF(OR($AE123&lt;$Q123,$AE123&gt;$R123),"Preço final fora do piso/teto","OK")))))</f>
        <v/>
      </c>
      <c r="AG123" s="26">
        <f>IF(COUNTA($A123:$K123)=0,"",IF(OR($A123="",$B123="",$C123="",$D123="",$E123="",$F123="",$H123=""),"Incompleta",IF(OR(COUNTIF($A$5:$A$204,$A123)&gt;1,NOT(ISNUMBER($B123)),COUNTIF(Produtos!$A$4:$A$103,$C123)&lt;&gt;1,IFERROR(INDEX(Produtos!$K$4:$K$103,MATCH($C123,Produtos!$A$4:$A$103,0))&lt;&gt;"Ativo",TRUE),IFERROR(INDEX(Produtos!$L$4:$L$103,MATCH($C123,Produtos!$A$4:$A$103,0))&lt;&gt;"OK",TRUE),COUNTIF(Regras!$A$4:$A$103,$D123)&lt;&gt;1,IFERROR(INDEX(Regras!$O$4:$O$103,MATCH($D123,Regras!$A$4:$A$103,0))&lt;&gt;"Sim",TRUE),IFERROR(INDEX(Regras!$P$4:$P$103,MATCH($D123,Regras!$A$4:$A$103,0))&lt;&gt;"OK",TRUE),NOT(ISNUMBER($E123)),$E123&lt;=0,NOT(ISNUMBER($F123)),$F123&lt;0,$F123&gt;5,NOT(ISNUMBER($H123)),$H123&lt;0,$H123&lt;&gt;INT($H123),AND($G123&lt;&gt;"",OR(NOT(ISNUMBER($G123)),$G123&lt;=0))),"Revisar","Pronta")))</f>
        <v/>
      </c>
    </row>
    <row r="124">
      <c r="A124" s="16" t="n"/>
      <c r="B124" s="24" t="n"/>
      <c r="C124" s="16" t="n"/>
      <c r="D124" s="16" t="n"/>
      <c r="E124" s="17" t="n"/>
      <c r="F124" s="18" t="n"/>
      <c r="G124" s="17" t="n"/>
      <c r="H124" s="20" t="n"/>
      <c r="I124" s="16" t="n"/>
      <c r="J124" s="17" t="n"/>
      <c r="K124" s="25" t="n"/>
      <c r="L124" s="26">
        <f>IF($C124="","",IFERROR(INDEX(Produtos!$B$4:$B$103,MATCH($C124,Produtos!$A$4:$A$103,0)),""))</f>
        <v/>
      </c>
      <c r="M124" s="26">
        <f>IF($C124="","",IFERROR(INDEX(Produtos!$C$4:$C$103,MATCH($C124,Produtos!$A$4:$A$103,0)),""))</f>
        <v/>
      </c>
      <c r="N124" s="19">
        <f>IF($C124="","",IFERROR(INDEX(Produtos!$D$4:$D$103,MATCH($C124,Produtos!$A$4:$A$103,0)),""))</f>
        <v/>
      </c>
      <c r="O124" s="27">
        <f>IF($C124="","",IFERROR(INDEX(Produtos!$E$4:$E$103,MATCH($C124,Produtos!$A$4:$A$103,0)),""))</f>
        <v/>
      </c>
      <c r="P124" s="19">
        <f>IF($C124="","",IFERROR(INDEX(Produtos!$G$4:$G$103,MATCH($C124,Produtos!$A$4:$A$103,0)),""))</f>
        <v/>
      </c>
      <c r="Q124" s="19">
        <f>IF($C124="","",IFERROR(INDEX(Produtos!$H$4:$H$103,MATCH($C124,Produtos!$A$4:$A$103,0)),""))</f>
        <v/>
      </c>
      <c r="R124" s="19">
        <f>IF($C124="","",IFERROR(INDEX(Produtos!$I$4:$I$103,MATCH($C124,Produtos!$A$4:$A$103,0)),""))</f>
        <v/>
      </c>
      <c r="S124" s="28">
        <f>IF($C124="","",IFERROR(INDEX(Produtos!$J$4:$J$103,MATCH($C124,Produtos!$A$4:$A$103,0)),""))</f>
        <v/>
      </c>
      <c r="T124" s="27">
        <f>IF($AG124&lt;&gt;"Pronta","",IFERROR(IF($F124&lt;=INDEX(Regras!$C$4:$C$103,MATCH($D124,Regras!$A$4:$A$103,0)),INDEX(Regras!$E$4:$E$103,MATCH($D124,Regras!$A$4:$A$103,0)),IF($F124&gt;=INDEX(Regras!$D$4:$D$103,MATCH($D124,Regras!$A$4:$A$103,0)),INDEX(Regras!$F$4:$F$103,MATCH($D124,Regras!$A$4:$A$103,0)),0)),""))</f>
        <v/>
      </c>
      <c r="U124" s="27">
        <f>IF($AG124&lt;&gt;"Pronta","",IFERROR(IF($G124="",0,IF($G124&lt;=$E124*(1-INDEX(Regras!$G$4:$G$103,MATCH($D124,Regras!$A$4:$A$103,0))),INDEX(Regras!$H$4:$H$103,MATCH($D124,Regras!$A$4:$A$103,0)),IF($G124&gt;=$E124*(1+INDEX(Regras!$G$4:$G$103,MATCH($D124,Regras!$A$4:$A$103,0))),INDEX(Regras!$I$4:$I$103,MATCH($D124,Regras!$A$4:$A$103,0)),0))),""))</f>
        <v/>
      </c>
      <c r="V124" s="27">
        <f>IF($AG124&lt;&gt;"Pronta","",IFERROR(IF($H124/$S124&lt;=INDEX(Regras!$J$4:$J$103,MATCH($D124,Regras!$A$4:$A$103,0)),INDEX(Regras!$L$4:$L$103,MATCH($D124,Regras!$A$4:$A$103,0)),IF($H124/$S124&gt;=INDEX(Regras!$K$4:$K$103,MATCH($D124,Regras!$A$4:$A$103,0)),INDEX(Regras!$M$4:$M$103,MATCH($D124,Regras!$A$4:$A$103,0)),0)),""))</f>
        <v/>
      </c>
      <c r="W124" s="27">
        <f>IF($AG124&lt;&gt;"Pronta","",SUM($T124:$V124))</f>
        <v/>
      </c>
      <c r="X124" s="27">
        <f>IF($AG124&lt;&gt;"Pronta","",IFERROR(MAX(-INDEX(Regras!$N$4:$N$103,MATCH($D124,Regras!$A$4:$A$103,0)),MIN(INDEX(Regras!$N$4:$N$103,MATCH($D124,Regras!$A$4:$A$103,0)),$W124)),""))</f>
        <v/>
      </c>
      <c r="Y124" s="19">
        <f>IF($AG124&lt;&gt;"Pronta","",IFERROR(ROUND($E124*(1+$X124),2),""))</f>
        <v/>
      </c>
      <c r="Z124" s="29">
        <f>IF(OR($AG124&lt;&gt;"Pronta",$Q124="",$R124=""),"",IFERROR(ROUND(MIN($R124,MAX($Q124,$Y124)),2),""))</f>
        <v/>
      </c>
      <c r="AA124" s="27">
        <f>IF(OR($E124="",$Z124=""),"",IFERROR($Z124/$E124-1,""))</f>
        <v/>
      </c>
      <c r="AB124" s="26">
        <f>IF($Z124="","",IF($Y124&lt;$Q124,"Piso",IF($Y124&gt;$R124,"Teto","Nenhuma")))</f>
        <v/>
      </c>
      <c r="AC124" s="21">
        <f>IF($A124="","",IF($AG124&lt;&gt;"Pronta","Aguardando dados válidos",_xlfn.TEXTJOIN(" | ",TRUE,IF($T124&gt;0,"Demanda: aumento",IF($T124&lt;0,"Demanda: redução","")),IF($U124&gt;0,"Concorrência: aumento",IF($U124&lt;0,"Concorrência: redução","")),IF($V124&gt;0,"Estoque: aumento",IF($V124&lt;0,"Estoque: redução","")),IF(ABS($W124-$X124)&gt;0.0000001,"Limite da rodada aplicado",""),IF($AB124="Piso","Piso vigente aplicado",IF($AB124="Teto","Teto aplicado","")),IF(AND($T124=0,$U124=0,$V124=0),"Sem gatilho de reajuste",""))))</f>
        <v/>
      </c>
      <c r="AD124" s="21">
        <f>IF(OR($A124="",$AG124&lt;&gt;"Pronta"),"",_xlfn.TEXTJOIN(" | ",TRUE,IF($E124&lt;$Q124,"Preço atual abaixo do piso",""),IF($E124&gt;$R124,"Preço atual acima do teto",""),IF(AND($N124&gt;0,$E124&gt;0,1-$N124/$E124&lt;$O124),"Margem estimada do preço atual abaixo do mínimo",""),IF($G124="","Preço concorrente não informado",""),IF($AB124="Piso","Recomendação travada no piso",""),IF($AB124="Teto","Recomendação travada no teto","")))</f>
        <v/>
      </c>
      <c r="AE124" s="19">
        <f>IF($AG124&lt;&gt;"Pronta","",IF($I124="Aprovar recomendação",$Z124,IF($I124="Manter preço atual",$E124,IF($I124="Definir manualmente",$J124,""))))</f>
        <v/>
      </c>
      <c r="AF124" s="21">
        <f>IF($A124="","",IF($AG124&lt;&gt;"Pronta","Aguardando correção",IF(OR($I124="",$I124="Pendente"),"Decisão pendente",IF(AND($I124="Definir manualmente",OR($J124="",$J124&lt;=0)),"Informe o preço manual",IF(OR($AE124&lt;$Q124,$AE124&gt;$R124),"Preço final fora do piso/teto","OK")))))</f>
        <v/>
      </c>
      <c r="AG124" s="26">
        <f>IF(COUNTA($A124:$K124)=0,"",IF(OR($A124="",$B124="",$C124="",$D124="",$E124="",$F124="",$H124=""),"Incompleta",IF(OR(COUNTIF($A$5:$A$204,$A124)&gt;1,NOT(ISNUMBER($B124)),COUNTIF(Produtos!$A$4:$A$103,$C124)&lt;&gt;1,IFERROR(INDEX(Produtos!$K$4:$K$103,MATCH($C124,Produtos!$A$4:$A$103,0))&lt;&gt;"Ativo",TRUE),IFERROR(INDEX(Produtos!$L$4:$L$103,MATCH($C124,Produtos!$A$4:$A$103,0))&lt;&gt;"OK",TRUE),COUNTIF(Regras!$A$4:$A$103,$D124)&lt;&gt;1,IFERROR(INDEX(Regras!$O$4:$O$103,MATCH($D124,Regras!$A$4:$A$103,0))&lt;&gt;"Sim",TRUE),IFERROR(INDEX(Regras!$P$4:$P$103,MATCH($D124,Regras!$A$4:$A$103,0))&lt;&gt;"OK",TRUE),NOT(ISNUMBER($E124)),$E124&lt;=0,NOT(ISNUMBER($F124)),$F124&lt;0,$F124&gt;5,NOT(ISNUMBER($H124)),$H124&lt;0,$H124&lt;&gt;INT($H124),AND($G124&lt;&gt;"",OR(NOT(ISNUMBER($G124)),$G124&lt;=0))),"Revisar","Pronta")))</f>
        <v/>
      </c>
    </row>
    <row r="125">
      <c r="A125" s="16" t="n"/>
      <c r="B125" s="24" t="n"/>
      <c r="C125" s="16" t="n"/>
      <c r="D125" s="16" t="n"/>
      <c r="E125" s="17" t="n"/>
      <c r="F125" s="18" t="n"/>
      <c r="G125" s="17" t="n"/>
      <c r="H125" s="20" t="n"/>
      <c r="I125" s="16" t="n"/>
      <c r="J125" s="17" t="n"/>
      <c r="K125" s="25" t="n"/>
      <c r="L125" s="26">
        <f>IF($C125="","",IFERROR(INDEX(Produtos!$B$4:$B$103,MATCH($C125,Produtos!$A$4:$A$103,0)),""))</f>
        <v/>
      </c>
      <c r="M125" s="26">
        <f>IF($C125="","",IFERROR(INDEX(Produtos!$C$4:$C$103,MATCH($C125,Produtos!$A$4:$A$103,0)),""))</f>
        <v/>
      </c>
      <c r="N125" s="19">
        <f>IF($C125="","",IFERROR(INDEX(Produtos!$D$4:$D$103,MATCH($C125,Produtos!$A$4:$A$103,0)),""))</f>
        <v/>
      </c>
      <c r="O125" s="27">
        <f>IF($C125="","",IFERROR(INDEX(Produtos!$E$4:$E$103,MATCH($C125,Produtos!$A$4:$A$103,0)),""))</f>
        <v/>
      </c>
      <c r="P125" s="19">
        <f>IF($C125="","",IFERROR(INDEX(Produtos!$G$4:$G$103,MATCH($C125,Produtos!$A$4:$A$103,0)),""))</f>
        <v/>
      </c>
      <c r="Q125" s="19">
        <f>IF($C125="","",IFERROR(INDEX(Produtos!$H$4:$H$103,MATCH($C125,Produtos!$A$4:$A$103,0)),""))</f>
        <v/>
      </c>
      <c r="R125" s="19">
        <f>IF($C125="","",IFERROR(INDEX(Produtos!$I$4:$I$103,MATCH($C125,Produtos!$A$4:$A$103,0)),""))</f>
        <v/>
      </c>
      <c r="S125" s="28">
        <f>IF($C125="","",IFERROR(INDEX(Produtos!$J$4:$J$103,MATCH($C125,Produtos!$A$4:$A$103,0)),""))</f>
        <v/>
      </c>
      <c r="T125" s="27">
        <f>IF($AG125&lt;&gt;"Pronta","",IFERROR(IF($F125&lt;=INDEX(Regras!$C$4:$C$103,MATCH($D125,Regras!$A$4:$A$103,0)),INDEX(Regras!$E$4:$E$103,MATCH($D125,Regras!$A$4:$A$103,0)),IF($F125&gt;=INDEX(Regras!$D$4:$D$103,MATCH($D125,Regras!$A$4:$A$103,0)),INDEX(Regras!$F$4:$F$103,MATCH($D125,Regras!$A$4:$A$103,0)),0)),""))</f>
        <v/>
      </c>
      <c r="U125" s="27">
        <f>IF($AG125&lt;&gt;"Pronta","",IFERROR(IF($G125="",0,IF($G125&lt;=$E125*(1-INDEX(Regras!$G$4:$G$103,MATCH($D125,Regras!$A$4:$A$103,0))),INDEX(Regras!$H$4:$H$103,MATCH($D125,Regras!$A$4:$A$103,0)),IF($G125&gt;=$E125*(1+INDEX(Regras!$G$4:$G$103,MATCH($D125,Regras!$A$4:$A$103,0))),INDEX(Regras!$I$4:$I$103,MATCH($D125,Regras!$A$4:$A$103,0)),0))),""))</f>
        <v/>
      </c>
      <c r="V125" s="27">
        <f>IF($AG125&lt;&gt;"Pronta","",IFERROR(IF($H125/$S125&lt;=INDEX(Regras!$J$4:$J$103,MATCH($D125,Regras!$A$4:$A$103,0)),INDEX(Regras!$L$4:$L$103,MATCH($D125,Regras!$A$4:$A$103,0)),IF($H125/$S125&gt;=INDEX(Regras!$K$4:$K$103,MATCH($D125,Regras!$A$4:$A$103,0)),INDEX(Regras!$M$4:$M$103,MATCH($D125,Regras!$A$4:$A$103,0)),0)),""))</f>
        <v/>
      </c>
      <c r="W125" s="27">
        <f>IF($AG125&lt;&gt;"Pronta","",SUM($T125:$V125))</f>
        <v/>
      </c>
      <c r="X125" s="27">
        <f>IF($AG125&lt;&gt;"Pronta","",IFERROR(MAX(-INDEX(Regras!$N$4:$N$103,MATCH($D125,Regras!$A$4:$A$103,0)),MIN(INDEX(Regras!$N$4:$N$103,MATCH($D125,Regras!$A$4:$A$103,0)),$W125)),""))</f>
        <v/>
      </c>
      <c r="Y125" s="19">
        <f>IF($AG125&lt;&gt;"Pronta","",IFERROR(ROUND($E125*(1+$X125),2),""))</f>
        <v/>
      </c>
      <c r="Z125" s="29">
        <f>IF(OR($AG125&lt;&gt;"Pronta",$Q125="",$R125=""),"",IFERROR(ROUND(MIN($R125,MAX($Q125,$Y125)),2),""))</f>
        <v/>
      </c>
      <c r="AA125" s="27">
        <f>IF(OR($E125="",$Z125=""),"",IFERROR($Z125/$E125-1,""))</f>
        <v/>
      </c>
      <c r="AB125" s="26">
        <f>IF($Z125="","",IF($Y125&lt;$Q125,"Piso",IF($Y125&gt;$R125,"Teto","Nenhuma")))</f>
        <v/>
      </c>
      <c r="AC125" s="21">
        <f>IF($A125="","",IF($AG125&lt;&gt;"Pronta","Aguardando dados válidos",_xlfn.TEXTJOIN(" | ",TRUE,IF($T125&gt;0,"Demanda: aumento",IF($T125&lt;0,"Demanda: redução","")),IF($U125&gt;0,"Concorrência: aumento",IF($U125&lt;0,"Concorrência: redução","")),IF($V125&gt;0,"Estoque: aumento",IF($V125&lt;0,"Estoque: redução","")),IF(ABS($W125-$X125)&gt;0.0000001,"Limite da rodada aplicado",""),IF($AB125="Piso","Piso vigente aplicado",IF($AB125="Teto","Teto aplicado","")),IF(AND($T125=0,$U125=0,$V125=0),"Sem gatilho de reajuste",""))))</f>
        <v/>
      </c>
      <c r="AD125" s="21">
        <f>IF(OR($A125="",$AG125&lt;&gt;"Pronta"),"",_xlfn.TEXTJOIN(" | ",TRUE,IF($E125&lt;$Q125,"Preço atual abaixo do piso",""),IF($E125&gt;$R125,"Preço atual acima do teto",""),IF(AND($N125&gt;0,$E125&gt;0,1-$N125/$E125&lt;$O125),"Margem estimada do preço atual abaixo do mínimo",""),IF($G125="","Preço concorrente não informado",""),IF($AB125="Piso","Recomendação travada no piso",""),IF($AB125="Teto","Recomendação travada no teto","")))</f>
        <v/>
      </c>
      <c r="AE125" s="19">
        <f>IF($AG125&lt;&gt;"Pronta","",IF($I125="Aprovar recomendação",$Z125,IF($I125="Manter preço atual",$E125,IF($I125="Definir manualmente",$J125,""))))</f>
        <v/>
      </c>
      <c r="AF125" s="21">
        <f>IF($A125="","",IF($AG125&lt;&gt;"Pronta","Aguardando correção",IF(OR($I125="",$I125="Pendente"),"Decisão pendente",IF(AND($I125="Definir manualmente",OR($J125="",$J125&lt;=0)),"Informe o preço manual",IF(OR($AE125&lt;$Q125,$AE125&gt;$R125),"Preço final fora do piso/teto","OK")))))</f>
        <v/>
      </c>
      <c r="AG125" s="26">
        <f>IF(COUNTA($A125:$K125)=0,"",IF(OR($A125="",$B125="",$C125="",$D125="",$E125="",$F125="",$H125=""),"Incompleta",IF(OR(COUNTIF($A$5:$A$204,$A125)&gt;1,NOT(ISNUMBER($B125)),COUNTIF(Produtos!$A$4:$A$103,$C125)&lt;&gt;1,IFERROR(INDEX(Produtos!$K$4:$K$103,MATCH($C125,Produtos!$A$4:$A$103,0))&lt;&gt;"Ativo",TRUE),IFERROR(INDEX(Produtos!$L$4:$L$103,MATCH($C125,Produtos!$A$4:$A$103,0))&lt;&gt;"OK",TRUE),COUNTIF(Regras!$A$4:$A$103,$D125)&lt;&gt;1,IFERROR(INDEX(Regras!$O$4:$O$103,MATCH($D125,Regras!$A$4:$A$103,0))&lt;&gt;"Sim",TRUE),IFERROR(INDEX(Regras!$P$4:$P$103,MATCH($D125,Regras!$A$4:$A$103,0))&lt;&gt;"OK",TRUE),NOT(ISNUMBER($E125)),$E125&lt;=0,NOT(ISNUMBER($F125)),$F125&lt;0,$F125&gt;5,NOT(ISNUMBER($H125)),$H125&lt;0,$H125&lt;&gt;INT($H125),AND($G125&lt;&gt;"",OR(NOT(ISNUMBER($G125)),$G125&lt;=0))),"Revisar","Pronta")))</f>
        <v/>
      </c>
    </row>
    <row r="126">
      <c r="A126" s="16" t="n"/>
      <c r="B126" s="24" t="n"/>
      <c r="C126" s="16" t="n"/>
      <c r="D126" s="16" t="n"/>
      <c r="E126" s="17" t="n"/>
      <c r="F126" s="18" t="n"/>
      <c r="G126" s="17" t="n"/>
      <c r="H126" s="20" t="n"/>
      <c r="I126" s="16" t="n"/>
      <c r="J126" s="17" t="n"/>
      <c r="K126" s="25" t="n"/>
      <c r="L126" s="26">
        <f>IF($C126="","",IFERROR(INDEX(Produtos!$B$4:$B$103,MATCH($C126,Produtos!$A$4:$A$103,0)),""))</f>
        <v/>
      </c>
      <c r="M126" s="26">
        <f>IF($C126="","",IFERROR(INDEX(Produtos!$C$4:$C$103,MATCH($C126,Produtos!$A$4:$A$103,0)),""))</f>
        <v/>
      </c>
      <c r="N126" s="19">
        <f>IF($C126="","",IFERROR(INDEX(Produtos!$D$4:$D$103,MATCH($C126,Produtos!$A$4:$A$103,0)),""))</f>
        <v/>
      </c>
      <c r="O126" s="27">
        <f>IF($C126="","",IFERROR(INDEX(Produtos!$E$4:$E$103,MATCH($C126,Produtos!$A$4:$A$103,0)),""))</f>
        <v/>
      </c>
      <c r="P126" s="19">
        <f>IF($C126="","",IFERROR(INDEX(Produtos!$G$4:$G$103,MATCH($C126,Produtos!$A$4:$A$103,0)),""))</f>
        <v/>
      </c>
      <c r="Q126" s="19">
        <f>IF($C126="","",IFERROR(INDEX(Produtos!$H$4:$H$103,MATCH($C126,Produtos!$A$4:$A$103,0)),""))</f>
        <v/>
      </c>
      <c r="R126" s="19">
        <f>IF($C126="","",IFERROR(INDEX(Produtos!$I$4:$I$103,MATCH($C126,Produtos!$A$4:$A$103,0)),""))</f>
        <v/>
      </c>
      <c r="S126" s="28">
        <f>IF($C126="","",IFERROR(INDEX(Produtos!$J$4:$J$103,MATCH($C126,Produtos!$A$4:$A$103,0)),""))</f>
        <v/>
      </c>
      <c r="T126" s="27">
        <f>IF($AG126&lt;&gt;"Pronta","",IFERROR(IF($F126&lt;=INDEX(Regras!$C$4:$C$103,MATCH($D126,Regras!$A$4:$A$103,0)),INDEX(Regras!$E$4:$E$103,MATCH($D126,Regras!$A$4:$A$103,0)),IF($F126&gt;=INDEX(Regras!$D$4:$D$103,MATCH($D126,Regras!$A$4:$A$103,0)),INDEX(Regras!$F$4:$F$103,MATCH($D126,Regras!$A$4:$A$103,0)),0)),""))</f>
        <v/>
      </c>
      <c r="U126" s="27">
        <f>IF($AG126&lt;&gt;"Pronta","",IFERROR(IF($G126="",0,IF($G126&lt;=$E126*(1-INDEX(Regras!$G$4:$G$103,MATCH($D126,Regras!$A$4:$A$103,0))),INDEX(Regras!$H$4:$H$103,MATCH($D126,Regras!$A$4:$A$103,0)),IF($G126&gt;=$E126*(1+INDEX(Regras!$G$4:$G$103,MATCH($D126,Regras!$A$4:$A$103,0))),INDEX(Regras!$I$4:$I$103,MATCH($D126,Regras!$A$4:$A$103,0)),0))),""))</f>
        <v/>
      </c>
      <c r="V126" s="27">
        <f>IF($AG126&lt;&gt;"Pronta","",IFERROR(IF($H126/$S126&lt;=INDEX(Regras!$J$4:$J$103,MATCH($D126,Regras!$A$4:$A$103,0)),INDEX(Regras!$L$4:$L$103,MATCH($D126,Regras!$A$4:$A$103,0)),IF($H126/$S126&gt;=INDEX(Regras!$K$4:$K$103,MATCH($D126,Regras!$A$4:$A$103,0)),INDEX(Regras!$M$4:$M$103,MATCH($D126,Regras!$A$4:$A$103,0)),0)),""))</f>
        <v/>
      </c>
      <c r="W126" s="27">
        <f>IF($AG126&lt;&gt;"Pronta","",SUM($T126:$V126))</f>
        <v/>
      </c>
      <c r="X126" s="27">
        <f>IF($AG126&lt;&gt;"Pronta","",IFERROR(MAX(-INDEX(Regras!$N$4:$N$103,MATCH($D126,Regras!$A$4:$A$103,0)),MIN(INDEX(Regras!$N$4:$N$103,MATCH($D126,Regras!$A$4:$A$103,0)),$W126)),""))</f>
        <v/>
      </c>
      <c r="Y126" s="19">
        <f>IF($AG126&lt;&gt;"Pronta","",IFERROR(ROUND($E126*(1+$X126),2),""))</f>
        <v/>
      </c>
      <c r="Z126" s="29">
        <f>IF(OR($AG126&lt;&gt;"Pronta",$Q126="",$R126=""),"",IFERROR(ROUND(MIN($R126,MAX($Q126,$Y126)),2),""))</f>
        <v/>
      </c>
      <c r="AA126" s="27">
        <f>IF(OR($E126="",$Z126=""),"",IFERROR($Z126/$E126-1,""))</f>
        <v/>
      </c>
      <c r="AB126" s="26">
        <f>IF($Z126="","",IF($Y126&lt;$Q126,"Piso",IF($Y126&gt;$R126,"Teto","Nenhuma")))</f>
        <v/>
      </c>
      <c r="AC126" s="21">
        <f>IF($A126="","",IF($AG126&lt;&gt;"Pronta","Aguardando dados válidos",_xlfn.TEXTJOIN(" | ",TRUE,IF($T126&gt;0,"Demanda: aumento",IF($T126&lt;0,"Demanda: redução","")),IF($U126&gt;0,"Concorrência: aumento",IF($U126&lt;0,"Concorrência: redução","")),IF($V126&gt;0,"Estoque: aumento",IF($V126&lt;0,"Estoque: redução","")),IF(ABS($W126-$X126)&gt;0.0000001,"Limite da rodada aplicado",""),IF($AB126="Piso","Piso vigente aplicado",IF($AB126="Teto","Teto aplicado","")),IF(AND($T126=0,$U126=0,$V126=0),"Sem gatilho de reajuste",""))))</f>
        <v/>
      </c>
      <c r="AD126" s="21">
        <f>IF(OR($A126="",$AG126&lt;&gt;"Pronta"),"",_xlfn.TEXTJOIN(" | ",TRUE,IF($E126&lt;$Q126,"Preço atual abaixo do piso",""),IF($E126&gt;$R126,"Preço atual acima do teto",""),IF(AND($N126&gt;0,$E126&gt;0,1-$N126/$E126&lt;$O126),"Margem estimada do preço atual abaixo do mínimo",""),IF($G126="","Preço concorrente não informado",""),IF($AB126="Piso","Recomendação travada no piso",""),IF($AB126="Teto","Recomendação travada no teto","")))</f>
        <v/>
      </c>
      <c r="AE126" s="19">
        <f>IF($AG126&lt;&gt;"Pronta","",IF($I126="Aprovar recomendação",$Z126,IF($I126="Manter preço atual",$E126,IF($I126="Definir manualmente",$J126,""))))</f>
        <v/>
      </c>
      <c r="AF126" s="21">
        <f>IF($A126="","",IF($AG126&lt;&gt;"Pronta","Aguardando correção",IF(OR($I126="",$I126="Pendente"),"Decisão pendente",IF(AND($I126="Definir manualmente",OR($J126="",$J126&lt;=0)),"Informe o preço manual",IF(OR($AE126&lt;$Q126,$AE126&gt;$R126),"Preço final fora do piso/teto","OK")))))</f>
        <v/>
      </c>
      <c r="AG126" s="26">
        <f>IF(COUNTA($A126:$K126)=0,"",IF(OR($A126="",$B126="",$C126="",$D126="",$E126="",$F126="",$H126=""),"Incompleta",IF(OR(COUNTIF($A$5:$A$204,$A126)&gt;1,NOT(ISNUMBER($B126)),COUNTIF(Produtos!$A$4:$A$103,$C126)&lt;&gt;1,IFERROR(INDEX(Produtos!$K$4:$K$103,MATCH($C126,Produtos!$A$4:$A$103,0))&lt;&gt;"Ativo",TRUE),IFERROR(INDEX(Produtos!$L$4:$L$103,MATCH($C126,Produtos!$A$4:$A$103,0))&lt;&gt;"OK",TRUE),COUNTIF(Regras!$A$4:$A$103,$D126)&lt;&gt;1,IFERROR(INDEX(Regras!$O$4:$O$103,MATCH($D126,Regras!$A$4:$A$103,0))&lt;&gt;"Sim",TRUE),IFERROR(INDEX(Regras!$P$4:$P$103,MATCH($D126,Regras!$A$4:$A$103,0))&lt;&gt;"OK",TRUE),NOT(ISNUMBER($E126)),$E126&lt;=0,NOT(ISNUMBER($F126)),$F126&lt;0,$F126&gt;5,NOT(ISNUMBER($H126)),$H126&lt;0,$H126&lt;&gt;INT($H126),AND($G126&lt;&gt;"",OR(NOT(ISNUMBER($G126)),$G126&lt;=0))),"Revisar","Pronta")))</f>
        <v/>
      </c>
    </row>
    <row r="127">
      <c r="A127" s="16" t="n"/>
      <c r="B127" s="24" t="n"/>
      <c r="C127" s="16" t="n"/>
      <c r="D127" s="16" t="n"/>
      <c r="E127" s="17" t="n"/>
      <c r="F127" s="18" t="n"/>
      <c r="G127" s="17" t="n"/>
      <c r="H127" s="20" t="n"/>
      <c r="I127" s="16" t="n"/>
      <c r="J127" s="17" t="n"/>
      <c r="K127" s="25" t="n"/>
      <c r="L127" s="26">
        <f>IF($C127="","",IFERROR(INDEX(Produtos!$B$4:$B$103,MATCH($C127,Produtos!$A$4:$A$103,0)),""))</f>
        <v/>
      </c>
      <c r="M127" s="26">
        <f>IF($C127="","",IFERROR(INDEX(Produtos!$C$4:$C$103,MATCH($C127,Produtos!$A$4:$A$103,0)),""))</f>
        <v/>
      </c>
      <c r="N127" s="19">
        <f>IF($C127="","",IFERROR(INDEX(Produtos!$D$4:$D$103,MATCH($C127,Produtos!$A$4:$A$103,0)),""))</f>
        <v/>
      </c>
      <c r="O127" s="27">
        <f>IF($C127="","",IFERROR(INDEX(Produtos!$E$4:$E$103,MATCH($C127,Produtos!$A$4:$A$103,0)),""))</f>
        <v/>
      </c>
      <c r="P127" s="19">
        <f>IF($C127="","",IFERROR(INDEX(Produtos!$G$4:$G$103,MATCH($C127,Produtos!$A$4:$A$103,0)),""))</f>
        <v/>
      </c>
      <c r="Q127" s="19">
        <f>IF($C127="","",IFERROR(INDEX(Produtos!$H$4:$H$103,MATCH($C127,Produtos!$A$4:$A$103,0)),""))</f>
        <v/>
      </c>
      <c r="R127" s="19">
        <f>IF($C127="","",IFERROR(INDEX(Produtos!$I$4:$I$103,MATCH($C127,Produtos!$A$4:$A$103,0)),""))</f>
        <v/>
      </c>
      <c r="S127" s="28">
        <f>IF($C127="","",IFERROR(INDEX(Produtos!$J$4:$J$103,MATCH($C127,Produtos!$A$4:$A$103,0)),""))</f>
        <v/>
      </c>
      <c r="T127" s="27">
        <f>IF($AG127&lt;&gt;"Pronta","",IFERROR(IF($F127&lt;=INDEX(Regras!$C$4:$C$103,MATCH($D127,Regras!$A$4:$A$103,0)),INDEX(Regras!$E$4:$E$103,MATCH($D127,Regras!$A$4:$A$103,0)),IF($F127&gt;=INDEX(Regras!$D$4:$D$103,MATCH($D127,Regras!$A$4:$A$103,0)),INDEX(Regras!$F$4:$F$103,MATCH($D127,Regras!$A$4:$A$103,0)),0)),""))</f>
        <v/>
      </c>
      <c r="U127" s="27">
        <f>IF($AG127&lt;&gt;"Pronta","",IFERROR(IF($G127="",0,IF($G127&lt;=$E127*(1-INDEX(Regras!$G$4:$G$103,MATCH($D127,Regras!$A$4:$A$103,0))),INDEX(Regras!$H$4:$H$103,MATCH($D127,Regras!$A$4:$A$103,0)),IF($G127&gt;=$E127*(1+INDEX(Regras!$G$4:$G$103,MATCH($D127,Regras!$A$4:$A$103,0))),INDEX(Regras!$I$4:$I$103,MATCH($D127,Regras!$A$4:$A$103,0)),0))),""))</f>
        <v/>
      </c>
      <c r="V127" s="27">
        <f>IF($AG127&lt;&gt;"Pronta","",IFERROR(IF($H127/$S127&lt;=INDEX(Regras!$J$4:$J$103,MATCH($D127,Regras!$A$4:$A$103,0)),INDEX(Regras!$L$4:$L$103,MATCH($D127,Regras!$A$4:$A$103,0)),IF($H127/$S127&gt;=INDEX(Regras!$K$4:$K$103,MATCH($D127,Regras!$A$4:$A$103,0)),INDEX(Regras!$M$4:$M$103,MATCH($D127,Regras!$A$4:$A$103,0)),0)),""))</f>
        <v/>
      </c>
      <c r="W127" s="27">
        <f>IF($AG127&lt;&gt;"Pronta","",SUM($T127:$V127))</f>
        <v/>
      </c>
      <c r="X127" s="27">
        <f>IF($AG127&lt;&gt;"Pronta","",IFERROR(MAX(-INDEX(Regras!$N$4:$N$103,MATCH($D127,Regras!$A$4:$A$103,0)),MIN(INDEX(Regras!$N$4:$N$103,MATCH($D127,Regras!$A$4:$A$103,0)),$W127)),""))</f>
        <v/>
      </c>
      <c r="Y127" s="19">
        <f>IF($AG127&lt;&gt;"Pronta","",IFERROR(ROUND($E127*(1+$X127),2),""))</f>
        <v/>
      </c>
      <c r="Z127" s="29">
        <f>IF(OR($AG127&lt;&gt;"Pronta",$Q127="",$R127=""),"",IFERROR(ROUND(MIN($R127,MAX($Q127,$Y127)),2),""))</f>
        <v/>
      </c>
      <c r="AA127" s="27">
        <f>IF(OR($E127="",$Z127=""),"",IFERROR($Z127/$E127-1,""))</f>
        <v/>
      </c>
      <c r="AB127" s="26">
        <f>IF($Z127="","",IF($Y127&lt;$Q127,"Piso",IF($Y127&gt;$R127,"Teto","Nenhuma")))</f>
        <v/>
      </c>
      <c r="AC127" s="21">
        <f>IF($A127="","",IF($AG127&lt;&gt;"Pronta","Aguardando dados válidos",_xlfn.TEXTJOIN(" | ",TRUE,IF($T127&gt;0,"Demanda: aumento",IF($T127&lt;0,"Demanda: redução","")),IF($U127&gt;0,"Concorrência: aumento",IF($U127&lt;0,"Concorrência: redução","")),IF($V127&gt;0,"Estoque: aumento",IF($V127&lt;0,"Estoque: redução","")),IF(ABS($W127-$X127)&gt;0.0000001,"Limite da rodada aplicado",""),IF($AB127="Piso","Piso vigente aplicado",IF($AB127="Teto","Teto aplicado","")),IF(AND($T127=0,$U127=0,$V127=0),"Sem gatilho de reajuste",""))))</f>
        <v/>
      </c>
      <c r="AD127" s="21">
        <f>IF(OR($A127="",$AG127&lt;&gt;"Pronta"),"",_xlfn.TEXTJOIN(" | ",TRUE,IF($E127&lt;$Q127,"Preço atual abaixo do piso",""),IF($E127&gt;$R127,"Preço atual acima do teto",""),IF(AND($N127&gt;0,$E127&gt;0,1-$N127/$E127&lt;$O127),"Margem estimada do preço atual abaixo do mínimo",""),IF($G127="","Preço concorrente não informado",""),IF($AB127="Piso","Recomendação travada no piso",""),IF($AB127="Teto","Recomendação travada no teto","")))</f>
        <v/>
      </c>
      <c r="AE127" s="19">
        <f>IF($AG127&lt;&gt;"Pronta","",IF($I127="Aprovar recomendação",$Z127,IF($I127="Manter preço atual",$E127,IF($I127="Definir manualmente",$J127,""))))</f>
        <v/>
      </c>
      <c r="AF127" s="21">
        <f>IF($A127="","",IF($AG127&lt;&gt;"Pronta","Aguardando correção",IF(OR($I127="",$I127="Pendente"),"Decisão pendente",IF(AND($I127="Definir manualmente",OR($J127="",$J127&lt;=0)),"Informe o preço manual",IF(OR($AE127&lt;$Q127,$AE127&gt;$R127),"Preço final fora do piso/teto","OK")))))</f>
        <v/>
      </c>
      <c r="AG127" s="26">
        <f>IF(COUNTA($A127:$K127)=0,"",IF(OR($A127="",$B127="",$C127="",$D127="",$E127="",$F127="",$H127=""),"Incompleta",IF(OR(COUNTIF($A$5:$A$204,$A127)&gt;1,NOT(ISNUMBER($B127)),COUNTIF(Produtos!$A$4:$A$103,$C127)&lt;&gt;1,IFERROR(INDEX(Produtos!$K$4:$K$103,MATCH($C127,Produtos!$A$4:$A$103,0))&lt;&gt;"Ativo",TRUE),IFERROR(INDEX(Produtos!$L$4:$L$103,MATCH($C127,Produtos!$A$4:$A$103,0))&lt;&gt;"OK",TRUE),COUNTIF(Regras!$A$4:$A$103,$D127)&lt;&gt;1,IFERROR(INDEX(Regras!$O$4:$O$103,MATCH($D127,Regras!$A$4:$A$103,0))&lt;&gt;"Sim",TRUE),IFERROR(INDEX(Regras!$P$4:$P$103,MATCH($D127,Regras!$A$4:$A$103,0))&lt;&gt;"OK",TRUE),NOT(ISNUMBER($E127)),$E127&lt;=0,NOT(ISNUMBER($F127)),$F127&lt;0,$F127&gt;5,NOT(ISNUMBER($H127)),$H127&lt;0,$H127&lt;&gt;INT($H127),AND($G127&lt;&gt;"",OR(NOT(ISNUMBER($G127)),$G127&lt;=0))),"Revisar","Pronta")))</f>
        <v/>
      </c>
    </row>
    <row r="128">
      <c r="A128" s="16" t="n"/>
      <c r="B128" s="24" t="n"/>
      <c r="C128" s="16" t="n"/>
      <c r="D128" s="16" t="n"/>
      <c r="E128" s="17" t="n"/>
      <c r="F128" s="18" t="n"/>
      <c r="G128" s="17" t="n"/>
      <c r="H128" s="20" t="n"/>
      <c r="I128" s="16" t="n"/>
      <c r="J128" s="17" t="n"/>
      <c r="K128" s="25" t="n"/>
      <c r="L128" s="26">
        <f>IF($C128="","",IFERROR(INDEX(Produtos!$B$4:$B$103,MATCH($C128,Produtos!$A$4:$A$103,0)),""))</f>
        <v/>
      </c>
      <c r="M128" s="26">
        <f>IF($C128="","",IFERROR(INDEX(Produtos!$C$4:$C$103,MATCH($C128,Produtos!$A$4:$A$103,0)),""))</f>
        <v/>
      </c>
      <c r="N128" s="19">
        <f>IF($C128="","",IFERROR(INDEX(Produtos!$D$4:$D$103,MATCH($C128,Produtos!$A$4:$A$103,0)),""))</f>
        <v/>
      </c>
      <c r="O128" s="27">
        <f>IF($C128="","",IFERROR(INDEX(Produtos!$E$4:$E$103,MATCH($C128,Produtos!$A$4:$A$103,0)),""))</f>
        <v/>
      </c>
      <c r="P128" s="19">
        <f>IF($C128="","",IFERROR(INDEX(Produtos!$G$4:$G$103,MATCH($C128,Produtos!$A$4:$A$103,0)),""))</f>
        <v/>
      </c>
      <c r="Q128" s="19">
        <f>IF($C128="","",IFERROR(INDEX(Produtos!$H$4:$H$103,MATCH($C128,Produtos!$A$4:$A$103,0)),""))</f>
        <v/>
      </c>
      <c r="R128" s="19">
        <f>IF($C128="","",IFERROR(INDEX(Produtos!$I$4:$I$103,MATCH($C128,Produtos!$A$4:$A$103,0)),""))</f>
        <v/>
      </c>
      <c r="S128" s="28">
        <f>IF($C128="","",IFERROR(INDEX(Produtos!$J$4:$J$103,MATCH($C128,Produtos!$A$4:$A$103,0)),""))</f>
        <v/>
      </c>
      <c r="T128" s="27">
        <f>IF($AG128&lt;&gt;"Pronta","",IFERROR(IF($F128&lt;=INDEX(Regras!$C$4:$C$103,MATCH($D128,Regras!$A$4:$A$103,0)),INDEX(Regras!$E$4:$E$103,MATCH($D128,Regras!$A$4:$A$103,0)),IF($F128&gt;=INDEX(Regras!$D$4:$D$103,MATCH($D128,Regras!$A$4:$A$103,0)),INDEX(Regras!$F$4:$F$103,MATCH($D128,Regras!$A$4:$A$103,0)),0)),""))</f>
        <v/>
      </c>
      <c r="U128" s="27">
        <f>IF($AG128&lt;&gt;"Pronta","",IFERROR(IF($G128="",0,IF($G128&lt;=$E128*(1-INDEX(Regras!$G$4:$G$103,MATCH($D128,Regras!$A$4:$A$103,0))),INDEX(Regras!$H$4:$H$103,MATCH($D128,Regras!$A$4:$A$103,0)),IF($G128&gt;=$E128*(1+INDEX(Regras!$G$4:$G$103,MATCH($D128,Regras!$A$4:$A$103,0))),INDEX(Regras!$I$4:$I$103,MATCH($D128,Regras!$A$4:$A$103,0)),0))),""))</f>
        <v/>
      </c>
      <c r="V128" s="27">
        <f>IF($AG128&lt;&gt;"Pronta","",IFERROR(IF($H128/$S128&lt;=INDEX(Regras!$J$4:$J$103,MATCH($D128,Regras!$A$4:$A$103,0)),INDEX(Regras!$L$4:$L$103,MATCH($D128,Regras!$A$4:$A$103,0)),IF($H128/$S128&gt;=INDEX(Regras!$K$4:$K$103,MATCH($D128,Regras!$A$4:$A$103,0)),INDEX(Regras!$M$4:$M$103,MATCH($D128,Regras!$A$4:$A$103,0)),0)),""))</f>
        <v/>
      </c>
      <c r="W128" s="27">
        <f>IF($AG128&lt;&gt;"Pronta","",SUM($T128:$V128))</f>
        <v/>
      </c>
      <c r="X128" s="27">
        <f>IF($AG128&lt;&gt;"Pronta","",IFERROR(MAX(-INDEX(Regras!$N$4:$N$103,MATCH($D128,Regras!$A$4:$A$103,0)),MIN(INDEX(Regras!$N$4:$N$103,MATCH($D128,Regras!$A$4:$A$103,0)),$W128)),""))</f>
        <v/>
      </c>
      <c r="Y128" s="19">
        <f>IF($AG128&lt;&gt;"Pronta","",IFERROR(ROUND($E128*(1+$X128),2),""))</f>
        <v/>
      </c>
      <c r="Z128" s="29">
        <f>IF(OR($AG128&lt;&gt;"Pronta",$Q128="",$R128=""),"",IFERROR(ROUND(MIN($R128,MAX($Q128,$Y128)),2),""))</f>
        <v/>
      </c>
      <c r="AA128" s="27">
        <f>IF(OR($E128="",$Z128=""),"",IFERROR($Z128/$E128-1,""))</f>
        <v/>
      </c>
      <c r="AB128" s="26">
        <f>IF($Z128="","",IF($Y128&lt;$Q128,"Piso",IF($Y128&gt;$R128,"Teto","Nenhuma")))</f>
        <v/>
      </c>
      <c r="AC128" s="21">
        <f>IF($A128="","",IF($AG128&lt;&gt;"Pronta","Aguardando dados válidos",_xlfn.TEXTJOIN(" | ",TRUE,IF($T128&gt;0,"Demanda: aumento",IF($T128&lt;0,"Demanda: redução","")),IF($U128&gt;0,"Concorrência: aumento",IF($U128&lt;0,"Concorrência: redução","")),IF($V128&gt;0,"Estoque: aumento",IF($V128&lt;0,"Estoque: redução","")),IF(ABS($W128-$X128)&gt;0.0000001,"Limite da rodada aplicado",""),IF($AB128="Piso","Piso vigente aplicado",IF($AB128="Teto","Teto aplicado","")),IF(AND($T128=0,$U128=0,$V128=0),"Sem gatilho de reajuste",""))))</f>
        <v/>
      </c>
      <c r="AD128" s="21">
        <f>IF(OR($A128="",$AG128&lt;&gt;"Pronta"),"",_xlfn.TEXTJOIN(" | ",TRUE,IF($E128&lt;$Q128,"Preço atual abaixo do piso",""),IF($E128&gt;$R128,"Preço atual acima do teto",""),IF(AND($N128&gt;0,$E128&gt;0,1-$N128/$E128&lt;$O128),"Margem estimada do preço atual abaixo do mínimo",""),IF($G128="","Preço concorrente não informado",""),IF($AB128="Piso","Recomendação travada no piso",""),IF($AB128="Teto","Recomendação travada no teto","")))</f>
        <v/>
      </c>
      <c r="AE128" s="19">
        <f>IF($AG128&lt;&gt;"Pronta","",IF($I128="Aprovar recomendação",$Z128,IF($I128="Manter preço atual",$E128,IF($I128="Definir manualmente",$J128,""))))</f>
        <v/>
      </c>
      <c r="AF128" s="21">
        <f>IF($A128="","",IF($AG128&lt;&gt;"Pronta","Aguardando correção",IF(OR($I128="",$I128="Pendente"),"Decisão pendente",IF(AND($I128="Definir manualmente",OR($J128="",$J128&lt;=0)),"Informe o preço manual",IF(OR($AE128&lt;$Q128,$AE128&gt;$R128),"Preço final fora do piso/teto","OK")))))</f>
        <v/>
      </c>
      <c r="AG128" s="26">
        <f>IF(COUNTA($A128:$K128)=0,"",IF(OR($A128="",$B128="",$C128="",$D128="",$E128="",$F128="",$H128=""),"Incompleta",IF(OR(COUNTIF($A$5:$A$204,$A128)&gt;1,NOT(ISNUMBER($B128)),COUNTIF(Produtos!$A$4:$A$103,$C128)&lt;&gt;1,IFERROR(INDEX(Produtos!$K$4:$K$103,MATCH($C128,Produtos!$A$4:$A$103,0))&lt;&gt;"Ativo",TRUE),IFERROR(INDEX(Produtos!$L$4:$L$103,MATCH($C128,Produtos!$A$4:$A$103,0))&lt;&gt;"OK",TRUE),COUNTIF(Regras!$A$4:$A$103,$D128)&lt;&gt;1,IFERROR(INDEX(Regras!$O$4:$O$103,MATCH($D128,Regras!$A$4:$A$103,0))&lt;&gt;"Sim",TRUE),IFERROR(INDEX(Regras!$P$4:$P$103,MATCH($D128,Regras!$A$4:$A$103,0))&lt;&gt;"OK",TRUE),NOT(ISNUMBER($E128)),$E128&lt;=0,NOT(ISNUMBER($F128)),$F128&lt;0,$F128&gt;5,NOT(ISNUMBER($H128)),$H128&lt;0,$H128&lt;&gt;INT($H128),AND($G128&lt;&gt;"",OR(NOT(ISNUMBER($G128)),$G128&lt;=0))),"Revisar","Pronta")))</f>
        <v/>
      </c>
    </row>
    <row r="129">
      <c r="A129" s="16" t="n"/>
      <c r="B129" s="24" t="n"/>
      <c r="C129" s="16" t="n"/>
      <c r="D129" s="16" t="n"/>
      <c r="E129" s="17" t="n"/>
      <c r="F129" s="18" t="n"/>
      <c r="G129" s="17" t="n"/>
      <c r="H129" s="20" t="n"/>
      <c r="I129" s="16" t="n"/>
      <c r="J129" s="17" t="n"/>
      <c r="K129" s="25" t="n"/>
      <c r="L129" s="26">
        <f>IF($C129="","",IFERROR(INDEX(Produtos!$B$4:$B$103,MATCH($C129,Produtos!$A$4:$A$103,0)),""))</f>
        <v/>
      </c>
      <c r="M129" s="26">
        <f>IF($C129="","",IFERROR(INDEX(Produtos!$C$4:$C$103,MATCH($C129,Produtos!$A$4:$A$103,0)),""))</f>
        <v/>
      </c>
      <c r="N129" s="19">
        <f>IF($C129="","",IFERROR(INDEX(Produtos!$D$4:$D$103,MATCH($C129,Produtos!$A$4:$A$103,0)),""))</f>
        <v/>
      </c>
      <c r="O129" s="27">
        <f>IF($C129="","",IFERROR(INDEX(Produtos!$E$4:$E$103,MATCH($C129,Produtos!$A$4:$A$103,0)),""))</f>
        <v/>
      </c>
      <c r="P129" s="19">
        <f>IF($C129="","",IFERROR(INDEX(Produtos!$G$4:$G$103,MATCH($C129,Produtos!$A$4:$A$103,0)),""))</f>
        <v/>
      </c>
      <c r="Q129" s="19">
        <f>IF($C129="","",IFERROR(INDEX(Produtos!$H$4:$H$103,MATCH($C129,Produtos!$A$4:$A$103,0)),""))</f>
        <v/>
      </c>
      <c r="R129" s="19">
        <f>IF($C129="","",IFERROR(INDEX(Produtos!$I$4:$I$103,MATCH($C129,Produtos!$A$4:$A$103,0)),""))</f>
        <v/>
      </c>
      <c r="S129" s="28">
        <f>IF($C129="","",IFERROR(INDEX(Produtos!$J$4:$J$103,MATCH($C129,Produtos!$A$4:$A$103,0)),""))</f>
        <v/>
      </c>
      <c r="T129" s="27">
        <f>IF($AG129&lt;&gt;"Pronta","",IFERROR(IF($F129&lt;=INDEX(Regras!$C$4:$C$103,MATCH($D129,Regras!$A$4:$A$103,0)),INDEX(Regras!$E$4:$E$103,MATCH($D129,Regras!$A$4:$A$103,0)),IF($F129&gt;=INDEX(Regras!$D$4:$D$103,MATCH($D129,Regras!$A$4:$A$103,0)),INDEX(Regras!$F$4:$F$103,MATCH($D129,Regras!$A$4:$A$103,0)),0)),""))</f>
        <v/>
      </c>
      <c r="U129" s="27">
        <f>IF($AG129&lt;&gt;"Pronta","",IFERROR(IF($G129="",0,IF($G129&lt;=$E129*(1-INDEX(Regras!$G$4:$G$103,MATCH($D129,Regras!$A$4:$A$103,0))),INDEX(Regras!$H$4:$H$103,MATCH($D129,Regras!$A$4:$A$103,0)),IF($G129&gt;=$E129*(1+INDEX(Regras!$G$4:$G$103,MATCH($D129,Regras!$A$4:$A$103,0))),INDEX(Regras!$I$4:$I$103,MATCH($D129,Regras!$A$4:$A$103,0)),0))),""))</f>
        <v/>
      </c>
      <c r="V129" s="27">
        <f>IF($AG129&lt;&gt;"Pronta","",IFERROR(IF($H129/$S129&lt;=INDEX(Regras!$J$4:$J$103,MATCH($D129,Regras!$A$4:$A$103,0)),INDEX(Regras!$L$4:$L$103,MATCH($D129,Regras!$A$4:$A$103,0)),IF($H129/$S129&gt;=INDEX(Regras!$K$4:$K$103,MATCH($D129,Regras!$A$4:$A$103,0)),INDEX(Regras!$M$4:$M$103,MATCH($D129,Regras!$A$4:$A$103,0)),0)),""))</f>
        <v/>
      </c>
      <c r="W129" s="27">
        <f>IF($AG129&lt;&gt;"Pronta","",SUM($T129:$V129))</f>
        <v/>
      </c>
      <c r="X129" s="27">
        <f>IF($AG129&lt;&gt;"Pronta","",IFERROR(MAX(-INDEX(Regras!$N$4:$N$103,MATCH($D129,Regras!$A$4:$A$103,0)),MIN(INDEX(Regras!$N$4:$N$103,MATCH($D129,Regras!$A$4:$A$103,0)),$W129)),""))</f>
        <v/>
      </c>
      <c r="Y129" s="19">
        <f>IF($AG129&lt;&gt;"Pronta","",IFERROR(ROUND($E129*(1+$X129),2),""))</f>
        <v/>
      </c>
      <c r="Z129" s="29">
        <f>IF(OR($AG129&lt;&gt;"Pronta",$Q129="",$R129=""),"",IFERROR(ROUND(MIN($R129,MAX($Q129,$Y129)),2),""))</f>
        <v/>
      </c>
      <c r="AA129" s="27">
        <f>IF(OR($E129="",$Z129=""),"",IFERROR($Z129/$E129-1,""))</f>
        <v/>
      </c>
      <c r="AB129" s="26">
        <f>IF($Z129="","",IF($Y129&lt;$Q129,"Piso",IF($Y129&gt;$R129,"Teto","Nenhuma")))</f>
        <v/>
      </c>
      <c r="AC129" s="21">
        <f>IF($A129="","",IF($AG129&lt;&gt;"Pronta","Aguardando dados válidos",_xlfn.TEXTJOIN(" | ",TRUE,IF($T129&gt;0,"Demanda: aumento",IF($T129&lt;0,"Demanda: redução","")),IF($U129&gt;0,"Concorrência: aumento",IF($U129&lt;0,"Concorrência: redução","")),IF($V129&gt;0,"Estoque: aumento",IF($V129&lt;0,"Estoque: redução","")),IF(ABS($W129-$X129)&gt;0.0000001,"Limite da rodada aplicado",""),IF($AB129="Piso","Piso vigente aplicado",IF($AB129="Teto","Teto aplicado","")),IF(AND($T129=0,$U129=0,$V129=0),"Sem gatilho de reajuste",""))))</f>
        <v/>
      </c>
      <c r="AD129" s="21">
        <f>IF(OR($A129="",$AG129&lt;&gt;"Pronta"),"",_xlfn.TEXTJOIN(" | ",TRUE,IF($E129&lt;$Q129,"Preço atual abaixo do piso",""),IF($E129&gt;$R129,"Preço atual acima do teto",""),IF(AND($N129&gt;0,$E129&gt;0,1-$N129/$E129&lt;$O129),"Margem estimada do preço atual abaixo do mínimo",""),IF($G129="","Preço concorrente não informado",""),IF($AB129="Piso","Recomendação travada no piso",""),IF($AB129="Teto","Recomendação travada no teto","")))</f>
        <v/>
      </c>
      <c r="AE129" s="19">
        <f>IF($AG129&lt;&gt;"Pronta","",IF($I129="Aprovar recomendação",$Z129,IF($I129="Manter preço atual",$E129,IF($I129="Definir manualmente",$J129,""))))</f>
        <v/>
      </c>
      <c r="AF129" s="21">
        <f>IF($A129="","",IF($AG129&lt;&gt;"Pronta","Aguardando correção",IF(OR($I129="",$I129="Pendente"),"Decisão pendente",IF(AND($I129="Definir manualmente",OR($J129="",$J129&lt;=0)),"Informe o preço manual",IF(OR($AE129&lt;$Q129,$AE129&gt;$R129),"Preço final fora do piso/teto","OK")))))</f>
        <v/>
      </c>
      <c r="AG129" s="26">
        <f>IF(COUNTA($A129:$K129)=0,"",IF(OR($A129="",$B129="",$C129="",$D129="",$E129="",$F129="",$H129=""),"Incompleta",IF(OR(COUNTIF($A$5:$A$204,$A129)&gt;1,NOT(ISNUMBER($B129)),COUNTIF(Produtos!$A$4:$A$103,$C129)&lt;&gt;1,IFERROR(INDEX(Produtos!$K$4:$K$103,MATCH($C129,Produtos!$A$4:$A$103,0))&lt;&gt;"Ativo",TRUE),IFERROR(INDEX(Produtos!$L$4:$L$103,MATCH($C129,Produtos!$A$4:$A$103,0))&lt;&gt;"OK",TRUE),COUNTIF(Regras!$A$4:$A$103,$D129)&lt;&gt;1,IFERROR(INDEX(Regras!$O$4:$O$103,MATCH($D129,Regras!$A$4:$A$103,0))&lt;&gt;"Sim",TRUE),IFERROR(INDEX(Regras!$P$4:$P$103,MATCH($D129,Regras!$A$4:$A$103,0))&lt;&gt;"OK",TRUE),NOT(ISNUMBER($E129)),$E129&lt;=0,NOT(ISNUMBER($F129)),$F129&lt;0,$F129&gt;5,NOT(ISNUMBER($H129)),$H129&lt;0,$H129&lt;&gt;INT($H129),AND($G129&lt;&gt;"",OR(NOT(ISNUMBER($G129)),$G129&lt;=0))),"Revisar","Pronta")))</f>
        <v/>
      </c>
    </row>
    <row r="130">
      <c r="A130" s="16" t="n"/>
      <c r="B130" s="24" t="n"/>
      <c r="C130" s="16" t="n"/>
      <c r="D130" s="16" t="n"/>
      <c r="E130" s="17" t="n"/>
      <c r="F130" s="18" t="n"/>
      <c r="G130" s="17" t="n"/>
      <c r="H130" s="20" t="n"/>
      <c r="I130" s="16" t="n"/>
      <c r="J130" s="17" t="n"/>
      <c r="K130" s="25" t="n"/>
      <c r="L130" s="26">
        <f>IF($C130="","",IFERROR(INDEX(Produtos!$B$4:$B$103,MATCH($C130,Produtos!$A$4:$A$103,0)),""))</f>
        <v/>
      </c>
      <c r="M130" s="26">
        <f>IF($C130="","",IFERROR(INDEX(Produtos!$C$4:$C$103,MATCH($C130,Produtos!$A$4:$A$103,0)),""))</f>
        <v/>
      </c>
      <c r="N130" s="19">
        <f>IF($C130="","",IFERROR(INDEX(Produtos!$D$4:$D$103,MATCH($C130,Produtos!$A$4:$A$103,0)),""))</f>
        <v/>
      </c>
      <c r="O130" s="27">
        <f>IF($C130="","",IFERROR(INDEX(Produtos!$E$4:$E$103,MATCH($C130,Produtos!$A$4:$A$103,0)),""))</f>
        <v/>
      </c>
      <c r="P130" s="19">
        <f>IF($C130="","",IFERROR(INDEX(Produtos!$G$4:$G$103,MATCH($C130,Produtos!$A$4:$A$103,0)),""))</f>
        <v/>
      </c>
      <c r="Q130" s="19">
        <f>IF($C130="","",IFERROR(INDEX(Produtos!$H$4:$H$103,MATCH($C130,Produtos!$A$4:$A$103,0)),""))</f>
        <v/>
      </c>
      <c r="R130" s="19">
        <f>IF($C130="","",IFERROR(INDEX(Produtos!$I$4:$I$103,MATCH($C130,Produtos!$A$4:$A$103,0)),""))</f>
        <v/>
      </c>
      <c r="S130" s="28">
        <f>IF($C130="","",IFERROR(INDEX(Produtos!$J$4:$J$103,MATCH($C130,Produtos!$A$4:$A$103,0)),""))</f>
        <v/>
      </c>
      <c r="T130" s="27">
        <f>IF($AG130&lt;&gt;"Pronta","",IFERROR(IF($F130&lt;=INDEX(Regras!$C$4:$C$103,MATCH($D130,Regras!$A$4:$A$103,0)),INDEX(Regras!$E$4:$E$103,MATCH($D130,Regras!$A$4:$A$103,0)),IF($F130&gt;=INDEX(Regras!$D$4:$D$103,MATCH($D130,Regras!$A$4:$A$103,0)),INDEX(Regras!$F$4:$F$103,MATCH($D130,Regras!$A$4:$A$103,0)),0)),""))</f>
        <v/>
      </c>
      <c r="U130" s="27">
        <f>IF($AG130&lt;&gt;"Pronta","",IFERROR(IF($G130="",0,IF($G130&lt;=$E130*(1-INDEX(Regras!$G$4:$G$103,MATCH($D130,Regras!$A$4:$A$103,0))),INDEX(Regras!$H$4:$H$103,MATCH($D130,Regras!$A$4:$A$103,0)),IF($G130&gt;=$E130*(1+INDEX(Regras!$G$4:$G$103,MATCH($D130,Regras!$A$4:$A$103,0))),INDEX(Regras!$I$4:$I$103,MATCH($D130,Regras!$A$4:$A$103,0)),0))),""))</f>
        <v/>
      </c>
      <c r="V130" s="27">
        <f>IF($AG130&lt;&gt;"Pronta","",IFERROR(IF($H130/$S130&lt;=INDEX(Regras!$J$4:$J$103,MATCH($D130,Regras!$A$4:$A$103,0)),INDEX(Regras!$L$4:$L$103,MATCH($D130,Regras!$A$4:$A$103,0)),IF($H130/$S130&gt;=INDEX(Regras!$K$4:$K$103,MATCH($D130,Regras!$A$4:$A$103,0)),INDEX(Regras!$M$4:$M$103,MATCH($D130,Regras!$A$4:$A$103,0)),0)),""))</f>
        <v/>
      </c>
      <c r="W130" s="27">
        <f>IF($AG130&lt;&gt;"Pronta","",SUM($T130:$V130))</f>
        <v/>
      </c>
      <c r="X130" s="27">
        <f>IF($AG130&lt;&gt;"Pronta","",IFERROR(MAX(-INDEX(Regras!$N$4:$N$103,MATCH($D130,Regras!$A$4:$A$103,0)),MIN(INDEX(Regras!$N$4:$N$103,MATCH($D130,Regras!$A$4:$A$103,0)),$W130)),""))</f>
        <v/>
      </c>
      <c r="Y130" s="19">
        <f>IF($AG130&lt;&gt;"Pronta","",IFERROR(ROUND($E130*(1+$X130),2),""))</f>
        <v/>
      </c>
      <c r="Z130" s="29">
        <f>IF(OR($AG130&lt;&gt;"Pronta",$Q130="",$R130=""),"",IFERROR(ROUND(MIN($R130,MAX($Q130,$Y130)),2),""))</f>
        <v/>
      </c>
      <c r="AA130" s="27">
        <f>IF(OR($E130="",$Z130=""),"",IFERROR($Z130/$E130-1,""))</f>
        <v/>
      </c>
      <c r="AB130" s="26">
        <f>IF($Z130="","",IF($Y130&lt;$Q130,"Piso",IF($Y130&gt;$R130,"Teto","Nenhuma")))</f>
        <v/>
      </c>
      <c r="AC130" s="21">
        <f>IF($A130="","",IF($AG130&lt;&gt;"Pronta","Aguardando dados válidos",_xlfn.TEXTJOIN(" | ",TRUE,IF($T130&gt;0,"Demanda: aumento",IF($T130&lt;0,"Demanda: redução","")),IF($U130&gt;0,"Concorrência: aumento",IF($U130&lt;0,"Concorrência: redução","")),IF($V130&gt;0,"Estoque: aumento",IF($V130&lt;0,"Estoque: redução","")),IF(ABS($W130-$X130)&gt;0.0000001,"Limite da rodada aplicado",""),IF($AB130="Piso","Piso vigente aplicado",IF($AB130="Teto","Teto aplicado","")),IF(AND($T130=0,$U130=0,$V130=0),"Sem gatilho de reajuste",""))))</f>
        <v/>
      </c>
      <c r="AD130" s="21">
        <f>IF(OR($A130="",$AG130&lt;&gt;"Pronta"),"",_xlfn.TEXTJOIN(" | ",TRUE,IF($E130&lt;$Q130,"Preço atual abaixo do piso",""),IF($E130&gt;$R130,"Preço atual acima do teto",""),IF(AND($N130&gt;0,$E130&gt;0,1-$N130/$E130&lt;$O130),"Margem estimada do preço atual abaixo do mínimo",""),IF($G130="","Preço concorrente não informado",""),IF($AB130="Piso","Recomendação travada no piso",""),IF($AB130="Teto","Recomendação travada no teto","")))</f>
        <v/>
      </c>
      <c r="AE130" s="19">
        <f>IF($AG130&lt;&gt;"Pronta","",IF($I130="Aprovar recomendação",$Z130,IF($I130="Manter preço atual",$E130,IF($I130="Definir manualmente",$J130,""))))</f>
        <v/>
      </c>
      <c r="AF130" s="21">
        <f>IF($A130="","",IF($AG130&lt;&gt;"Pronta","Aguardando correção",IF(OR($I130="",$I130="Pendente"),"Decisão pendente",IF(AND($I130="Definir manualmente",OR($J130="",$J130&lt;=0)),"Informe o preço manual",IF(OR($AE130&lt;$Q130,$AE130&gt;$R130),"Preço final fora do piso/teto","OK")))))</f>
        <v/>
      </c>
      <c r="AG130" s="26">
        <f>IF(COUNTA($A130:$K130)=0,"",IF(OR($A130="",$B130="",$C130="",$D130="",$E130="",$F130="",$H130=""),"Incompleta",IF(OR(COUNTIF($A$5:$A$204,$A130)&gt;1,NOT(ISNUMBER($B130)),COUNTIF(Produtos!$A$4:$A$103,$C130)&lt;&gt;1,IFERROR(INDEX(Produtos!$K$4:$K$103,MATCH($C130,Produtos!$A$4:$A$103,0))&lt;&gt;"Ativo",TRUE),IFERROR(INDEX(Produtos!$L$4:$L$103,MATCH($C130,Produtos!$A$4:$A$103,0))&lt;&gt;"OK",TRUE),COUNTIF(Regras!$A$4:$A$103,$D130)&lt;&gt;1,IFERROR(INDEX(Regras!$O$4:$O$103,MATCH($D130,Regras!$A$4:$A$103,0))&lt;&gt;"Sim",TRUE),IFERROR(INDEX(Regras!$P$4:$P$103,MATCH($D130,Regras!$A$4:$A$103,0))&lt;&gt;"OK",TRUE),NOT(ISNUMBER($E130)),$E130&lt;=0,NOT(ISNUMBER($F130)),$F130&lt;0,$F130&gt;5,NOT(ISNUMBER($H130)),$H130&lt;0,$H130&lt;&gt;INT($H130),AND($G130&lt;&gt;"",OR(NOT(ISNUMBER($G130)),$G130&lt;=0))),"Revisar","Pronta")))</f>
        <v/>
      </c>
    </row>
    <row r="131">
      <c r="A131" s="16" t="n"/>
      <c r="B131" s="24" t="n"/>
      <c r="C131" s="16" t="n"/>
      <c r="D131" s="16" t="n"/>
      <c r="E131" s="17" t="n"/>
      <c r="F131" s="18" t="n"/>
      <c r="G131" s="17" t="n"/>
      <c r="H131" s="20" t="n"/>
      <c r="I131" s="16" t="n"/>
      <c r="J131" s="17" t="n"/>
      <c r="K131" s="25" t="n"/>
      <c r="L131" s="26">
        <f>IF($C131="","",IFERROR(INDEX(Produtos!$B$4:$B$103,MATCH($C131,Produtos!$A$4:$A$103,0)),""))</f>
        <v/>
      </c>
      <c r="M131" s="26">
        <f>IF($C131="","",IFERROR(INDEX(Produtos!$C$4:$C$103,MATCH($C131,Produtos!$A$4:$A$103,0)),""))</f>
        <v/>
      </c>
      <c r="N131" s="19">
        <f>IF($C131="","",IFERROR(INDEX(Produtos!$D$4:$D$103,MATCH($C131,Produtos!$A$4:$A$103,0)),""))</f>
        <v/>
      </c>
      <c r="O131" s="27">
        <f>IF($C131="","",IFERROR(INDEX(Produtos!$E$4:$E$103,MATCH($C131,Produtos!$A$4:$A$103,0)),""))</f>
        <v/>
      </c>
      <c r="P131" s="19">
        <f>IF($C131="","",IFERROR(INDEX(Produtos!$G$4:$G$103,MATCH($C131,Produtos!$A$4:$A$103,0)),""))</f>
        <v/>
      </c>
      <c r="Q131" s="19">
        <f>IF($C131="","",IFERROR(INDEX(Produtos!$H$4:$H$103,MATCH($C131,Produtos!$A$4:$A$103,0)),""))</f>
        <v/>
      </c>
      <c r="R131" s="19">
        <f>IF($C131="","",IFERROR(INDEX(Produtos!$I$4:$I$103,MATCH($C131,Produtos!$A$4:$A$103,0)),""))</f>
        <v/>
      </c>
      <c r="S131" s="28">
        <f>IF($C131="","",IFERROR(INDEX(Produtos!$J$4:$J$103,MATCH($C131,Produtos!$A$4:$A$103,0)),""))</f>
        <v/>
      </c>
      <c r="T131" s="27">
        <f>IF($AG131&lt;&gt;"Pronta","",IFERROR(IF($F131&lt;=INDEX(Regras!$C$4:$C$103,MATCH($D131,Regras!$A$4:$A$103,0)),INDEX(Regras!$E$4:$E$103,MATCH($D131,Regras!$A$4:$A$103,0)),IF($F131&gt;=INDEX(Regras!$D$4:$D$103,MATCH($D131,Regras!$A$4:$A$103,0)),INDEX(Regras!$F$4:$F$103,MATCH($D131,Regras!$A$4:$A$103,0)),0)),""))</f>
        <v/>
      </c>
      <c r="U131" s="27">
        <f>IF($AG131&lt;&gt;"Pronta","",IFERROR(IF($G131="",0,IF($G131&lt;=$E131*(1-INDEX(Regras!$G$4:$G$103,MATCH($D131,Regras!$A$4:$A$103,0))),INDEX(Regras!$H$4:$H$103,MATCH($D131,Regras!$A$4:$A$103,0)),IF($G131&gt;=$E131*(1+INDEX(Regras!$G$4:$G$103,MATCH($D131,Regras!$A$4:$A$103,0))),INDEX(Regras!$I$4:$I$103,MATCH($D131,Regras!$A$4:$A$103,0)),0))),""))</f>
        <v/>
      </c>
      <c r="V131" s="27">
        <f>IF($AG131&lt;&gt;"Pronta","",IFERROR(IF($H131/$S131&lt;=INDEX(Regras!$J$4:$J$103,MATCH($D131,Regras!$A$4:$A$103,0)),INDEX(Regras!$L$4:$L$103,MATCH($D131,Regras!$A$4:$A$103,0)),IF($H131/$S131&gt;=INDEX(Regras!$K$4:$K$103,MATCH($D131,Regras!$A$4:$A$103,0)),INDEX(Regras!$M$4:$M$103,MATCH($D131,Regras!$A$4:$A$103,0)),0)),""))</f>
        <v/>
      </c>
      <c r="W131" s="27">
        <f>IF($AG131&lt;&gt;"Pronta","",SUM($T131:$V131))</f>
        <v/>
      </c>
      <c r="X131" s="27">
        <f>IF($AG131&lt;&gt;"Pronta","",IFERROR(MAX(-INDEX(Regras!$N$4:$N$103,MATCH($D131,Regras!$A$4:$A$103,0)),MIN(INDEX(Regras!$N$4:$N$103,MATCH($D131,Regras!$A$4:$A$103,0)),$W131)),""))</f>
        <v/>
      </c>
      <c r="Y131" s="19">
        <f>IF($AG131&lt;&gt;"Pronta","",IFERROR(ROUND($E131*(1+$X131),2),""))</f>
        <v/>
      </c>
      <c r="Z131" s="29">
        <f>IF(OR($AG131&lt;&gt;"Pronta",$Q131="",$R131=""),"",IFERROR(ROUND(MIN($R131,MAX($Q131,$Y131)),2),""))</f>
        <v/>
      </c>
      <c r="AA131" s="27">
        <f>IF(OR($E131="",$Z131=""),"",IFERROR($Z131/$E131-1,""))</f>
        <v/>
      </c>
      <c r="AB131" s="26">
        <f>IF($Z131="","",IF($Y131&lt;$Q131,"Piso",IF($Y131&gt;$R131,"Teto","Nenhuma")))</f>
        <v/>
      </c>
      <c r="AC131" s="21">
        <f>IF($A131="","",IF($AG131&lt;&gt;"Pronta","Aguardando dados válidos",_xlfn.TEXTJOIN(" | ",TRUE,IF($T131&gt;0,"Demanda: aumento",IF($T131&lt;0,"Demanda: redução","")),IF($U131&gt;0,"Concorrência: aumento",IF($U131&lt;0,"Concorrência: redução","")),IF($V131&gt;0,"Estoque: aumento",IF($V131&lt;0,"Estoque: redução","")),IF(ABS($W131-$X131)&gt;0.0000001,"Limite da rodada aplicado",""),IF($AB131="Piso","Piso vigente aplicado",IF($AB131="Teto","Teto aplicado","")),IF(AND($T131=0,$U131=0,$V131=0),"Sem gatilho de reajuste",""))))</f>
        <v/>
      </c>
      <c r="AD131" s="21">
        <f>IF(OR($A131="",$AG131&lt;&gt;"Pronta"),"",_xlfn.TEXTJOIN(" | ",TRUE,IF($E131&lt;$Q131,"Preço atual abaixo do piso",""),IF($E131&gt;$R131,"Preço atual acima do teto",""),IF(AND($N131&gt;0,$E131&gt;0,1-$N131/$E131&lt;$O131),"Margem estimada do preço atual abaixo do mínimo",""),IF($G131="","Preço concorrente não informado",""),IF($AB131="Piso","Recomendação travada no piso",""),IF($AB131="Teto","Recomendação travada no teto","")))</f>
        <v/>
      </c>
      <c r="AE131" s="19">
        <f>IF($AG131&lt;&gt;"Pronta","",IF($I131="Aprovar recomendação",$Z131,IF($I131="Manter preço atual",$E131,IF($I131="Definir manualmente",$J131,""))))</f>
        <v/>
      </c>
      <c r="AF131" s="21">
        <f>IF($A131="","",IF($AG131&lt;&gt;"Pronta","Aguardando correção",IF(OR($I131="",$I131="Pendente"),"Decisão pendente",IF(AND($I131="Definir manualmente",OR($J131="",$J131&lt;=0)),"Informe o preço manual",IF(OR($AE131&lt;$Q131,$AE131&gt;$R131),"Preço final fora do piso/teto","OK")))))</f>
        <v/>
      </c>
      <c r="AG131" s="26">
        <f>IF(COUNTA($A131:$K131)=0,"",IF(OR($A131="",$B131="",$C131="",$D131="",$E131="",$F131="",$H131=""),"Incompleta",IF(OR(COUNTIF($A$5:$A$204,$A131)&gt;1,NOT(ISNUMBER($B131)),COUNTIF(Produtos!$A$4:$A$103,$C131)&lt;&gt;1,IFERROR(INDEX(Produtos!$K$4:$K$103,MATCH($C131,Produtos!$A$4:$A$103,0))&lt;&gt;"Ativo",TRUE),IFERROR(INDEX(Produtos!$L$4:$L$103,MATCH($C131,Produtos!$A$4:$A$103,0))&lt;&gt;"OK",TRUE),COUNTIF(Regras!$A$4:$A$103,$D131)&lt;&gt;1,IFERROR(INDEX(Regras!$O$4:$O$103,MATCH($D131,Regras!$A$4:$A$103,0))&lt;&gt;"Sim",TRUE),IFERROR(INDEX(Regras!$P$4:$P$103,MATCH($D131,Regras!$A$4:$A$103,0))&lt;&gt;"OK",TRUE),NOT(ISNUMBER($E131)),$E131&lt;=0,NOT(ISNUMBER($F131)),$F131&lt;0,$F131&gt;5,NOT(ISNUMBER($H131)),$H131&lt;0,$H131&lt;&gt;INT($H131),AND($G131&lt;&gt;"",OR(NOT(ISNUMBER($G131)),$G131&lt;=0))),"Revisar","Pronta")))</f>
        <v/>
      </c>
    </row>
    <row r="132">
      <c r="A132" s="16" t="n"/>
      <c r="B132" s="24" t="n"/>
      <c r="C132" s="16" t="n"/>
      <c r="D132" s="16" t="n"/>
      <c r="E132" s="17" t="n"/>
      <c r="F132" s="18" t="n"/>
      <c r="G132" s="17" t="n"/>
      <c r="H132" s="20" t="n"/>
      <c r="I132" s="16" t="n"/>
      <c r="J132" s="17" t="n"/>
      <c r="K132" s="25" t="n"/>
      <c r="L132" s="26">
        <f>IF($C132="","",IFERROR(INDEX(Produtos!$B$4:$B$103,MATCH($C132,Produtos!$A$4:$A$103,0)),""))</f>
        <v/>
      </c>
      <c r="M132" s="26">
        <f>IF($C132="","",IFERROR(INDEX(Produtos!$C$4:$C$103,MATCH($C132,Produtos!$A$4:$A$103,0)),""))</f>
        <v/>
      </c>
      <c r="N132" s="19">
        <f>IF($C132="","",IFERROR(INDEX(Produtos!$D$4:$D$103,MATCH($C132,Produtos!$A$4:$A$103,0)),""))</f>
        <v/>
      </c>
      <c r="O132" s="27">
        <f>IF($C132="","",IFERROR(INDEX(Produtos!$E$4:$E$103,MATCH($C132,Produtos!$A$4:$A$103,0)),""))</f>
        <v/>
      </c>
      <c r="P132" s="19">
        <f>IF($C132="","",IFERROR(INDEX(Produtos!$G$4:$G$103,MATCH($C132,Produtos!$A$4:$A$103,0)),""))</f>
        <v/>
      </c>
      <c r="Q132" s="19">
        <f>IF($C132="","",IFERROR(INDEX(Produtos!$H$4:$H$103,MATCH($C132,Produtos!$A$4:$A$103,0)),""))</f>
        <v/>
      </c>
      <c r="R132" s="19">
        <f>IF($C132="","",IFERROR(INDEX(Produtos!$I$4:$I$103,MATCH($C132,Produtos!$A$4:$A$103,0)),""))</f>
        <v/>
      </c>
      <c r="S132" s="28">
        <f>IF($C132="","",IFERROR(INDEX(Produtos!$J$4:$J$103,MATCH($C132,Produtos!$A$4:$A$103,0)),""))</f>
        <v/>
      </c>
      <c r="T132" s="27">
        <f>IF($AG132&lt;&gt;"Pronta","",IFERROR(IF($F132&lt;=INDEX(Regras!$C$4:$C$103,MATCH($D132,Regras!$A$4:$A$103,0)),INDEX(Regras!$E$4:$E$103,MATCH($D132,Regras!$A$4:$A$103,0)),IF($F132&gt;=INDEX(Regras!$D$4:$D$103,MATCH($D132,Regras!$A$4:$A$103,0)),INDEX(Regras!$F$4:$F$103,MATCH($D132,Regras!$A$4:$A$103,0)),0)),""))</f>
        <v/>
      </c>
      <c r="U132" s="27">
        <f>IF($AG132&lt;&gt;"Pronta","",IFERROR(IF($G132="",0,IF($G132&lt;=$E132*(1-INDEX(Regras!$G$4:$G$103,MATCH($D132,Regras!$A$4:$A$103,0))),INDEX(Regras!$H$4:$H$103,MATCH($D132,Regras!$A$4:$A$103,0)),IF($G132&gt;=$E132*(1+INDEX(Regras!$G$4:$G$103,MATCH($D132,Regras!$A$4:$A$103,0))),INDEX(Regras!$I$4:$I$103,MATCH($D132,Regras!$A$4:$A$103,0)),0))),""))</f>
        <v/>
      </c>
      <c r="V132" s="27">
        <f>IF($AG132&lt;&gt;"Pronta","",IFERROR(IF($H132/$S132&lt;=INDEX(Regras!$J$4:$J$103,MATCH($D132,Regras!$A$4:$A$103,0)),INDEX(Regras!$L$4:$L$103,MATCH($D132,Regras!$A$4:$A$103,0)),IF($H132/$S132&gt;=INDEX(Regras!$K$4:$K$103,MATCH($D132,Regras!$A$4:$A$103,0)),INDEX(Regras!$M$4:$M$103,MATCH($D132,Regras!$A$4:$A$103,0)),0)),""))</f>
        <v/>
      </c>
      <c r="W132" s="27">
        <f>IF($AG132&lt;&gt;"Pronta","",SUM($T132:$V132))</f>
        <v/>
      </c>
      <c r="X132" s="27">
        <f>IF($AG132&lt;&gt;"Pronta","",IFERROR(MAX(-INDEX(Regras!$N$4:$N$103,MATCH($D132,Regras!$A$4:$A$103,0)),MIN(INDEX(Regras!$N$4:$N$103,MATCH($D132,Regras!$A$4:$A$103,0)),$W132)),""))</f>
        <v/>
      </c>
      <c r="Y132" s="19">
        <f>IF($AG132&lt;&gt;"Pronta","",IFERROR(ROUND($E132*(1+$X132),2),""))</f>
        <v/>
      </c>
      <c r="Z132" s="29">
        <f>IF(OR($AG132&lt;&gt;"Pronta",$Q132="",$R132=""),"",IFERROR(ROUND(MIN($R132,MAX($Q132,$Y132)),2),""))</f>
        <v/>
      </c>
      <c r="AA132" s="27">
        <f>IF(OR($E132="",$Z132=""),"",IFERROR($Z132/$E132-1,""))</f>
        <v/>
      </c>
      <c r="AB132" s="26">
        <f>IF($Z132="","",IF($Y132&lt;$Q132,"Piso",IF($Y132&gt;$R132,"Teto","Nenhuma")))</f>
        <v/>
      </c>
      <c r="AC132" s="21">
        <f>IF($A132="","",IF($AG132&lt;&gt;"Pronta","Aguardando dados válidos",_xlfn.TEXTJOIN(" | ",TRUE,IF($T132&gt;0,"Demanda: aumento",IF($T132&lt;0,"Demanda: redução","")),IF($U132&gt;0,"Concorrência: aumento",IF($U132&lt;0,"Concorrência: redução","")),IF($V132&gt;0,"Estoque: aumento",IF($V132&lt;0,"Estoque: redução","")),IF(ABS($W132-$X132)&gt;0.0000001,"Limite da rodada aplicado",""),IF($AB132="Piso","Piso vigente aplicado",IF($AB132="Teto","Teto aplicado","")),IF(AND($T132=0,$U132=0,$V132=0),"Sem gatilho de reajuste",""))))</f>
        <v/>
      </c>
      <c r="AD132" s="21">
        <f>IF(OR($A132="",$AG132&lt;&gt;"Pronta"),"",_xlfn.TEXTJOIN(" | ",TRUE,IF($E132&lt;$Q132,"Preço atual abaixo do piso",""),IF($E132&gt;$R132,"Preço atual acima do teto",""),IF(AND($N132&gt;0,$E132&gt;0,1-$N132/$E132&lt;$O132),"Margem estimada do preço atual abaixo do mínimo",""),IF($G132="","Preço concorrente não informado",""),IF($AB132="Piso","Recomendação travada no piso",""),IF($AB132="Teto","Recomendação travada no teto","")))</f>
        <v/>
      </c>
      <c r="AE132" s="19">
        <f>IF($AG132&lt;&gt;"Pronta","",IF($I132="Aprovar recomendação",$Z132,IF($I132="Manter preço atual",$E132,IF($I132="Definir manualmente",$J132,""))))</f>
        <v/>
      </c>
      <c r="AF132" s="21">
        <f>IF($A132="","",IF($AG132&lt;&gt;"Pronta","Aguardando correção",IF(OR($I132="",$I132="Pendente"),"Decisão pendente",IF(AND($I132="Definir manualmente",OR($J132="",$J132&lt;=0)),"Informe o preço manual",IF(OR($AE132&lt;$Q132,$AE132&gt;$R132),"Preço final fora do piso/teto","OK")))))</f>
        <v/>
      </c>
      <c r="AG132" s="26">
        <f>IF(COUNTA($A132:$K132)=0,"",IF(OR($A132="",$B132="",$C132="",$D132="",$E132="",$F132="",$H132=""),"Incompleta",IF(OR(COUNTIF($A$5:$A$204,$A132)&gt;1,NOT(ISNUMBER($B132)),COUNTIF(Produtos!$A$4:$A$103,$C132)&lt;&gt;1,IFERROR(INDEX(Produtos!$K$4:$K$103,MATCH($C132,Produtos!$A$4:$A$103,0))&lt;&gt;"Ativo",TRUE),IFERROR(INDEX(Produtos!$L$4:$L$103,MATCH($C132,Produtos!$A$4:$A$103,0))&lt;&gt;"OK",TRUE),COUNTIF(Regras!$A$4:$A$103,$D132)&lt;&gt;1,IFERROR(INDEX(Regras!$O$4:$O$103,MATCH($D132,Regras!$A$4:$A$103,0))&lt;&gt;"Sim",TRUE),IFERROR(INDEX(Regras!$P$4:$P$103,MATCH($D132,Regras!$A$4:$A$103,0))&lt;&gt;"OK",TRUE),NOT(ISNUMBER($E132)),$E132&lt;=0,NOT(ISNUMBER($F132)),$F132&lt;0,$F132&gt;5,NOT(ISNUMBER($H132)),$H132&lt;0,$H132&lt;&gt;INT($H132),AND($G132&lt;&gt;"",OR(NOT(ISNUMBER($G132)),$G132&lt;=0))),"Revisar","Pronta")))</f>
        <v/>
      </c>
    </row>
    <row r="133">
      <c r="A133" s="16" t="n"/>
      <c r="B133" s="24" t="n"/>
      <c r="C133" s="16" t="n"/>
      <c r="D133" s="16" t="n"/>
      <c r="E133" s="17" t="n"/>
      <c r="F133" s="18" t="n"/>
      <c r="G133" s="17" t="n"/>
      <c r="H133" s="20" t="n"/>
      <c r="I133" s="16" t="n"/>
      <c r="J133" s="17" t="n"/>
      <c r="K133" s="25" t="n"/>
      <c r="L133" s="26">
        <f>IF($C133="","",IFERROR(INDEX(Produtos!$B$4:$B$103,MATCH($C133,Produtos!$A$4:$A$103,0)),""))</f>
        <v/>
      </c>
      <c r="M133" s="26">
        <f>IF($C133="","",IFERROR(INDEX(Produtos!$C$4:$C$103,MATCH($C133,Produtos!$A$4:$A$103,0)),""))</f>
        <v/>
      </c>
      <c r="N133" s="19">
        <f>IF($C133="","",IFERROR(INDEX(Produtos!$D$4:$D$103,MATCH($C133,Produtos!$A$4:$A$103,0)),""))</f>
        <v/>
      </c>
      <c r="O133" s="27">
        <f>IF($C133="","",IFERROR(INDEX(Produtos!$E$4:$E$103,MATCH($C133,Produtos!$A$4:$A$103,0)),""))</f>
        <v/>
      </c>
      <c r="P133" s="19">
        <f>IF($C133="","",IFERROR(INDEX(Produtos!$G$4:$G$103,MATCH($C133,Produtos!$A$4:$A$103,0)),""))</f>
        <v/>
      </c>
      <c r="Q133" s="19">
        <f>IF($C133="","",IFERROR(INDEX(Produtos!$H$4:$H$103,MATCH($C133,Produtos!$A$4:$A$103,0)),""))</f>
        <v/>
      </c>
      <c r="R133" s="19">
        <f>IF($C133="","",IFERROR(INDEX(Produtos!$I$4:$I$103,MATCH($C133,Produtos!$A$4:$A$103,0)),""))</f>
        <v/>
      </c>
      <c r="S133" s="28">
        <f>IF($C133="","",IFERROR(INDEX(Produtos!$J$4:$J$103,MATCH($C133,Produtos!$A$4:$A$103,0)),""))</f>
        <v/>
      </c>
      <c r="T133" s="27">
        <f>IF($AG133&lt;&gt;"Pronta","",IFERROR(IF($F133&lt;=INDEX(Regras!$C$4:$C$103,MATCH($D133,Regras!$A$4:$A$103,0)),INDEX(Regras!$E$4:$E$103,MATCH($D133,Regras!$A$4:$A$103,0)),IF($F133&gt;=INDEX(Regras!$D$4:$D$103,MATCH($D133,Regras!$A$4:$A$103,0)),INDEX(Regras!$F$4:$F$103,MATCH($D133,Regras!$A$4:$A$103,0)),0)),""))</f>
        <v/>
      </c>
      <c r="U133" s="27">
        <f>IF($AG133&lt;&gt;"Pronta","",IFERROR(IF($G133="",0,IF($G133&lt;=$E133*(1-INDEX(Regras!$G$4:$G$103,MATCH($D133,Regras!$A$4:$A$103,0))),INDEX(Regras!$H$4:$H$103,MATCH($D133,Regras!$A$4:$A$103,0)),IF($G133&gt;=$E133*(1+INDEX(Regras!$G$4:$G$103,MATCH($D133,Regras!$A$4:$A$103,0))),INDEX(Regras!$I$4:$I$103,MATCH($D133,Regras!$A$4:$A$103,0)),0))),""))</f>
        <v/>
      </c>
      <c r="V133" s="27">
        <f>IF($AG133&lt;&gt;"Pronta","",IFERROR(IF($H133/$S133&lt;=INDEX(Regras!$J$4:$J$103,MATCH($D133,Regras!$A$4:$A$103,0)),INDEX(Regras!$L$4:$L$103,MATCH($D133,Regras!$A$4:$A$103,0)),IF($H133/$S133&gt;=INDEX(Regras!$K$4:$K$103,MATCH($D133,Regras!$A$4:$A$103,0)),INDEX(Regras!$M$4:$M$103,MATCH($D133,Regras!$A$4:$A$103,0)),0)),""))</f>
        <v/>
      </c>
      <c r="W133" s="27">
        <f>IF($AG133&lt;&gt;"Pronta","",SUM($T133:$V133))</f>
        <v/>
      </c>
      <c r="X133" s="27">
        <f>IF($AG133&lt;&gt;"Pronta","",IFERROR(MAX(-INDEX(Regras!$N$4:$N$103,MATCH($D133,Regras!$A$4:$A$103,0)),MIN(INDEX(Regras!$N$4:$N$103,MATCH($D133,Regras!$A$4:$A$103,0)),$W133)),""))</f>
        <v/>
      </c>
      <c r="Y133" s="19">
        <f>IF($AG133&lt;&gt;"Pronta","",IFERROR(ROUND($E133*(1+$X133),2),""))</f>
        <v/>
      </c>
      <c r="Z133" s="29">
        <f>IF(OR($AG133&lt;&gt;"Pronta",$Q133="",$R133=""),"",IFERROR(ROUND(MIN($R133,MAX($Q133,$Y133)),2),""))</f>
        <v/>
      </c>
      <c r="AA133" s="27">
        <f>IF(OR($E133="",$Z133=""),"",IFERROR($Z133/$E133-1,""))</f>
        <v/>
      </c>
      <c r="AB133" s="26">
        <f>IF($Z133="","",IF($Y133&lt;$Q133,"Piso",IF($Y133&gt;$R133,"Teto","Nenhuma")))</f>
        <v/>
      </c>
      <c r="AC133" s="21">
        <f>IF($A133="","",IF($AG133&lt;&gt;"Pronta","Aguardando dados válidos",_xlfn.TEXTJOIN(" | ",TRUE,IF($T133&gt;0,"Demanda: aumento",IF($T133&lt;0,"Demanda: redução","")),IF($U133&gt;0,"Concorrência: aumento",IF($U133&lt;0,"Concorrência: redução","")),IF($V133&gt;0,"Estoque: aumento",IF($V133&lt;0,"Estoque: redução","")),IF(ABS($W133-$X133)&gt;0.0000001,"Limite da rodada aplicado",""),IF($AB133="Piso","Piso vigente aplicado",IF($AB133="Teto","Teto aplicado","")),IF(AND($T133=0,$U133=0,$V133=0),"Sem gatilho de reajuste",""))))</f>
        <v/>
      </c>
      <c r="AD133" s="21">
        <f>IF(OR($A133="",$AG133&lt;&gt;"Pronta"),"",_xlfn.TEXTJOIN(" | ",TRUE,IF($E133&lt;$Q133,"Preço atual abaixo do piso",""),IF($E133&gt;$R133,"Preço atual acima do teto",""),IF(AND($N133&gt;0,$E133&gt;0,1-$N133/$E133&lt;$O133),"Margem estimada do preço atual abaixo do mínimo",""),IF($G133="","Preço concorrente não informado",""),IF($AB133="Piso","Recomendação travada no piso",""),IF($AB133="Teto","Recomendação travada no teto","")))</f>
        <v/>
      </c>
      <c r="AE133" s="19">
        <f>IF($AG133&lt;&gt;"Pronta","",IF($I133="Aprovar recomendação",$Z133,IF($I133="Manter preço atual",$E133,IF($I133="Definir manualmente",$J133,""))))</f>
        <v/>
      </c>
      <c r="AF133" s="21">
        <f>IF($A133="","",IF($AG133&lt;&gt;"Pronta","Aguardando correção",IF(OR($I133="",$I133="Pendente"),"Decisão pendente",IF(AND($I133="Definir manualmente",OR($J133="",$J133&lt;=0)),"Informe o preço manual",IF(OR($AE133&lt;$Q133,$AE133&gt;$R133),"Preço final fora do piso/teto","OK")))))</f>
        <v/>
      </c>
      <c r="AG133" s="26">
        <f>IF(COUNTA($A133:$K133)=0,"",IF(OR($A133="",$B133="",$C133="",$D133="",$E133="",$F133="",$H133=""),"Incompleta",IF(OR(COUNTIF($A$5:$A$204,$A133)&gt;1,NOT(ISNUMBER($B133)),COUNTIF(Produtos!$A$4:$A$103,$C133)&lt;&gt;1,IFERROR(INDEX(Produtos!$K$4:$K$103,MATCH($C133,Produtos!$A$4:$A$103,0))&lt;&gt;"Ativo",TRUE),IFERROR(INDEX(Produtos!$L$4:$L$103,MATCH($C133,Produtos!$A$4:$A$103,0))&lt;&gt;"OK",TRUE),COUNTIF(Regras!$A$4:$A$103,$D133)&lt;&gt;1,IFERROR(INDEX(Regras!$O$4:$O$103,MATCH($D133,Regras!$A$4:$A$103,0))&lt;&gt;"Sim",TRUE),IFERROR(INDEX(Regras!$P$4:$P$103,MATCH($D133,Regras!$A$4:$A$103,0))&lt;&gt;"OK",TRUE),NOT(ISNUMBER($E133)),$E133&lt;=0,NOT(ISNUMBER($F133)),$F133&lt;0,$F133&gt;5,NOT(ISNUMBER($H133)),$H133&lt;0,$H133&lt;&gt;INT($H133),AND($G133&lt;&gt;"",OR(NOT(ISNUMBER($G133)),$G133&lt;=0))),"Revisar","Pronta")))</f>
        <v/>
      </c>
    </row>
    <row r="134">
      <c r="A134" s="16" t="n"/>
      <c r="B134" s="24" t="n"/>
      <c r="C134" s="16" t="n"/>
      <c r="D134" s="16" t="n"/>
      <c r="E134" s="17" t="n"/>
      <c r="F134" s="18" t="n"/>
      <c r="G134" s="17" t="n"/>
      <c r="H134" s="20" t="n"/>
      <c r="I134" s="16" t="n"/>
      <c r="J134" s="17" t="n"/>
      <c r="K134" s="25" t="n"/>
      <c r="L134" s="26">
        <f>IF($C134="","",IFERROR(INDEX(Produtos!$B$4:$B$103,MATCH($C134,Produtos!$A$4:$A$103,0)),""))</f>
        <v/>
      </c>
      <c r="M134" s="26">
        <f>IF($C134="","",IFERROR(INDEX(Produtos!$C$4:$C$103,MATCH($C134,Produtos!$A$4:$A$103,0)),""))</f>
        <v/>
      </c>
      <c r="N134" s="19">
        <f>IF($C134="","",IFERROR(INDEX(Produtos!$D$4:$D$103,MATCH($C134,Produtos!$A$4:$A$103,0)),""))</f>
        <v/>
      </c>
      <c r="O134" s="27">
        <f>IF($C134="","",IFERROR(INDEX(Produtos!$E$4:$E$103,MATCH($C134,Produtos!$A$4:$A$103,0)),""))</f>
        <v/>
      </c>
      <c r="P134" s="19">
        <f>IF($C134="","",IFERROR(INDEX(Produtos!$G$4:$G$103,MATCH($C134,Produtos!$A$4:$A$103,0)),""))</f>
        <v/>
      </c>
      <c r="Q134" s="19">
        <f>IF($C134="","",IFERROR(INDEX(Produtos!$H$4:$H$103,MATCH($C134,Produtos!$A$4:$A$103,0)),""))</f>
        <v/>
      </c>
      <c r="R134" s="19">
        <f>IF($C134="","",IFERROR(INDEX(Produtos!$I$4:$I$103,MATCH($C134,Produtos!$A$4:$A$103,0)),""))</f>
        <v/>
      </c>
      <c r="S134" s="28">
        <f>IF($C134="","",IFERROR(INDEX(Produtos!$J$4:$J$103,MATCH($C134,Produtos!$A$4:$A$103,0)),""))</f>
        <v/>
      </c>
      <c r="T134" s="27">
        <f>IF($AG134&lt;&gt;"Pronta","",IFERROR(IF($F134&lt;=INDEX(Regras!$C$4:$C$103,MATCH($D134,Regras!$A$4:$A$103,0)),INDEX(Regras!$E$4:$E$103,MATCH($D134,Regras!$A$4:$A$103,0)),IF($F134&gt;=INDEX(Regras!$D$4:$D$103,MATCH($D134,Regras!$A$4:$A$103,0)),INDEX(Regras!$F$4:$F$103,MATCH($D134,Regras!$A$4:$A$103,0)),0)),""))</f>
        <v/>
      </c>
      <c r="U134" s="27">
        <f>IF($AG134&lt;&gt;"Pronta","",IFERROR(IF($G134="",0,IF($G134&lt;=$E134*(1-INDEX(Regras!$G$4:$G$103,MATCH($D134,Regras!$A$4:$A$103,0))),INDEX(Regras!$H$4:$H$103,MATCH($D134,Regras!$A$4:$A$103,0)),IF($G134&gt;=$E134*(1+INDEX(Regras!$G$4:$G$103,MATCH($D134,Regras!$A$4:$A$103,0))),INDEX(Regras!$I$4:$I$103,MATCH($D134,Regras!$A$4:$A$103,0)),0))),""))</f>
        <v/>
      </c>
      <c r="V134" s="27">
        <f>IF($AG134&lt;&gt;"Pronta","",IFERROR(IF($H134/$S134&lt;=INDEX(Regras!$J$4:$J$103,MATCH($D134,Regras!$A$4:$A$103,0)),INDEX(Regras!$L$4:$L$103,MATCH($D134,Regras!$A$4:$A$103,0)),IF($H134/$S134&gt;=INDEX(Regras!$K$4:$K$103,MATCH($D134,Regras!$A$4:$A$103,0)),INDEX(Regras!$M$4:$M$103,MATCH($D134,Regras!$A$4:$A$103,0)),0)),""))</f>
        <v/>
      </c>
      <c r="W134" s="27">
        <f>IF($AG134&lt;&gt;"Pronta","",SUM($T134:$V134))</f>
        <v/>
      </c>
      <c r="X134" s="27">
        <f>IF($AG134&lt;&gt;"Pronta","",IFERROR(MAX(-INDEX(Regras!$N$4:$N$103,MATCH($D134,Regras!$A$4:$A$103,0)),MIN(INDEX(Regras!$N$4:$N$103,MATCH($D134,Regras!$A$4:$A$103,0)),$W134)),""))</f>
        <v/>
      </c>
      <c r="Y134" s="19">
        <f>IF($AG134&lt;&gt;"Pronta","",IFERROR(ROUND($E134*(1+$X134),2),""))</f>
        <v/>
      </c>
      <c r="Z134" s="29">
        <f>IF(OR($AG134&lt;&gt;"Pronta",$Q134="",$R134=""),"",IFERROR(ROUND(MIN($R134,MAX($Q134,$Y134)),2),""))</f>
        <v/>
      </c>
      <c r="AA134" s="27">
        <f>IF(OR($E134="",$Z134=""),"",IFERROR($Z134/$E134-1,""))</f>
        <v/>
      </c>
      <c r="AB134" s="26">
        <f>IF($Z134="","",IF($Y134&lt;$Q134,"Piso",IF($Y134&gt;$R134,"Teto","Nenhuma")))</f>
        <v/>
      </c>
      <c r="AC134" s="21">
        <f>IF($A134="","",IF($AG134&lt;&gt;"Pronta","Aguardando dados válidos",_xlfn.TEXTJOIN(" | ",TRUE,IF($T134&gt;0,"Demanda: aumento",IF($T134&lt;0,"Demanda: redução","")),IF($U134&gt;0,"Concorrência: aumento",IF($U134&lt;0,"Concorrência: redução","")),IF($V134&gt;0,"Estoque: aumento",IF($V134&lt;0,"Estoque: redução","")),IF(ABS($W134-$X134)&gt;0.0000001,"Limite da rodada aplicado",""),IF($AB134="Piso","Piso vigente aplicado",IF($AB134="Teto","Teto aplicado","")),IF(AND($T134=0,$U134=0,$V134=0),"Sem gatilho de reajuste",""))))</f>
        <v/>
      </c>
      <c r="AD134" s="21">
        <f>IF(OR($A134="",$AG134&lt;&gt;"Pronta"),"",_xlfn.TEXTJOIN(" | ",TRUE,IF($E134&lt;$Q134,"Preço atual abaixo do piso",""),IF($E134&gt;$R134,"Preço atual acima do teto",""),IF(AND($N134&gt;0,$E134&gt;0,1-$N134/$E134&lt;$O134),"Margem estimada do preço atual abaixo do mínimo",""),IF($G134="","Preço concorrente não informado",""),IF($AB134="Piso","Recomendação travada no piso",""),IF($AB134="Teto","Recomendação travada no teto","")))</f>
        <v/>
      </c>
      <c r="AE134" s="19">
        <f>IF($AG134&lt;&gt;"Pronta","",IF($I134="Aprovar recomendação",$Z134,IF($I134="Manter preço atual",$E134,IF($I134="Definir manualmente",$J134,""))))</f>
        <v/>
      </c>
      <c r="AF134" s="21">
        <f>IF($A134="","",IF($AG134&lt;&gt;"Pronta","Aguardando correção",IF(OR($I134="",$I134="Pendente"),"Decisão pendente",IF(AND($I134="Definir manualmente",OR($J134="",$J134&lt;=0)),"Informe o preço manual",IF(OR($AE134&lt;$Q134,$AE134&gt;$R134),"Preço final fora do piso/teto","OK")))))</f>
        <v/>
      </c>
      <c r="AG134" s="26">
        <f>IF(COUNTA($A134:$K134)=0,"",IF(OR($A134="",$B134="",$C134="",$D134="",$E134="",$F134="",$H134=""),"Incompleta",IF(OR(COUNTIF($A$5:$A$204,$A134)&gt;1,NOT(ISNUMBER($B134)),COUNTIF(Produtos!$A$4:$A$103,$C134)&lt;&gt;1,IFERROR(INDEX(Produtos!$K$4:$K$103,MATCH($C134,Produtos!$A$4:$A$103,0))&lt;&gt;"Ativo",TRUE),IFERROR(INDEX(Produtos!$L$4:$L$103,MATCH($C134,Produtos!$A$4:$A$103,0))&lt;&gt;"OK",TRUE),COUNTIF(Regras!$A$4:$A$103,$D134)&lt;&gt;1,IFERROR(INDEX(Regras!$O$4:$O$103,MATCH($D134,Regras!$A$4:$A$103,0))&lt;&gt;"Sim",TRUE),IFERROR(INDEX(Regras!$P$4:$P$103,MATCH($D134,Regras!$A$4:$A$103,0))&lt;&gt;"OK",TRUE),NOT(ISNUMBER($E134)),$E134&lt;=0,NOT(ISNUMBER($F134)),$F134&lt;0,$F134&gt;5,NOT(ISNUMBER($H134)),$H134&lt;0,$H134&lt;&gt;INT($H134),AND($G134&lt;&gt;"",OR(NOT(ISNUMBER($G134)),$G134&lt;=0))),"Revisar","Pronta")))</f>
        <v/>
      </c>
    </row>
    <row r="135">
      <c r="A135" s="16" t="n"/>
      <c r="B135" s="24" t="n"/>
      <c r="C135" s="16" t="n"/>
      <c r="D135" s="16" t="n"/>
      <c r="E135" s="17" t="n"/>
      <c r="F135" s="18" t="n"/>
      <c r="G135" s="17" t="n"/>
      <c r="H135" s="20" t="n"/>
      <c r="I135" s="16" t="n"/>
      <c r="J135" s="17" t="n"/>
      <c r="K135" s="25" t="n"/>
      <c r="L135" s="26">
        <f>IF($C135="","",IFERROR(INDEX(Produtos!$B$4:$B$103,MATCH($C135,Produtos!$A$4:$A$103,0)),""))</f>
        <v/>
      </c>
      <c r="M135" s="26">
        <f>IF($C135="","",IFERROR(INDEX(Produtos!$C$4:$C$103,MATCH($C135,Produtos!$A$4:$A$103,0)),""))</f>
        <v/>
      </c>
      <c r="N135" s="19">
        <f>IF($C135="","",IFERROR(INDEX(Produtos!$D$4:$D$103,MATCH($C135,Produtos!$A$4:$A$103,0)),""))</f>
        <v/>
      </c>
      <c r="O135" s="27">
        <f>IF($C135="","",IFERROR(INDEX(Produtos!$E$4:$E$103,MATCH($C135,Produtos!$A$4:$A$103,0)),""))</f>
        <v/>
      </c>
      <c r="P135" s="19">
        <f>IF($C135="","",IFERROR(INDEX(Produtos!$G$4:$G$103,MATCH($C135,Produtos!$A$4:$A$103,0)),""))</f>
        <v/>
      </c>
      <c r="Q135" s="19">
        <f>IF($C135="","",IFERROR(INDEX(Produtos!$H$4:$H$103,MATCH($C135,Produtos!$A$4:$A$103,0)),""))</f>
        <v/>
      </c>
      <c r="R135" s="19">
        <f>IF($C135="","",IFERROR(INDEX(Produtos!$I$4:$I$103,MATCH($C135,Produtos!$A$4:$A$103,0)),""))</f>
        <v/>
      </c>
      <c r="S135" s="28">
        <f>IF($C135="","",IFERROR(INDEX(Produtos!$J$4:$J$103,MATCH($C135,Produtos!$A$4:$A$103,0)),""))</f>
        <v/>
      </c>
      <c r="T135" s="27">
        <f>IF($AG135&lt;&gt;"Pronta","",IFERROR(IF($F135&lt;=INDEX(Regras!$C$4:$C$103,MATCH($D135,Regras!$A$4:$A$103,0)),INDEX(Regras!$E$4:$E$103,MATCH($D135,Regras!$A$4:$A$103,0)),IF($F135&gt;=INDEX(Regras!$D$4:$D$103,MATCH($D135,Regras!$A$4:$A$103,0)),INDEX(Regras!$F$4:$F$103,MATCH($D135,Regras!$A$4:$A$103,0)),0)),""))</f>
        <v/>
      </c>
      <c r="U135" s="27">
        <f>IF($AG135&lt;&gt;"Pronta","",IFERROR(IF($G135="",0,IF($G135&lt;=$E135*(1-INDEX(Regras!$G$4:$G$103,MATCH($D135,Regras!$A$4:$A$103,0))),INDEX(Regras!$H$4:$H$103,MATCH($D135,Regras!$A$4:$A$103,0)),IF($G135&gt;=$E135*(1+INDEX(Regras!$G$4:$G$103,MATCH($D135,Regras!$A$4:$A$103,0))),INDEX(Regras!$I$4:$I$103,MATCH($D135,Regras!$A$4:$A$103,0)),0))),""))</f>
        <v/>
      </c>
      <c r="V135" s="27">
        <f>IF($AG135&lt;&gt;"Pronta","",IFERROR(IF($H135/$S135&lt;=INDEX(Regras!$J$4:$J$103,MATCH($D135,Regras!$A$4:$A$103,0)),INDEX(Regras!$L$4:$L$103,MATCH($D135,Regras!$A$4:$A$103,0)),IF($H135/$S135&gt;=INDEX(Regras!$K$4:$K$103,MATCH($D135,Regras!$A$4:$A$103,0)),INDEX(Regras!$M$4:$M$103,MATCH($D135,Regras!$A$4:$A$103,0)),0)),""))</f>
        <v/>
      </c>
      <c r="W135" s="27">
        <f>IF($AG135&lt;&gt;"Pronta","",SUM($T135:$V135))</f>
        <v/>
      </c>
      <c r="X135" s="27">
        <f>IF($AG135&lt;&gt;"Pronta","",IFERROR(MAX(-INDEX(Regras!$N$4:$N$103,MATCH($D135,Regras!$A$4:$A$103,0)),MIN(INDEX(Regras!$N$4:$N$103,MATCH($D135,Regras!$A$4:$A$103,0)),$W135)),""))</f>
        <v/>
      </c>
      <c r="Y135" s="19">
        <f>IF($AG135&lt;&gt;"Pronta","",IFERROR(ROUND($E135*(1+$X135),2),""))</f>
        <v/>
      </c>
      <c r="Z135" s="29">
        <f>IF(OR($AG135&lt;&gt;"Pronta",$Q135="",$R135=""),"",IFERROR(ROUND(MIN($R135,MAX($Q135,$Y135)),2),""))</f>
        <v/>
      </c>
      <c r="AA135" s="27">
        <f>IF(OR($E135="",$Z135=""),"",IFERROR($Z135/$E135-1,""))</f>
        <v/>
      </c>
      <c r="AB135" s="26">
        <f>IF($Z135="","",IF($Y135&lt;$Q135,"Piso",IF($Y135&gt;$R135,"Teto","Nenhuma")))</f>
        <v/>
      </c>
      <c r="AC135" s="21">
        <f>IF($A135="","",IF($AG135&lt;&gt;"Pronta","Aguardando dados válidos",_xlfn.TEXTJOIN(" | ",TRUE,IF($T135&gt;0,"Demanda: aumento",IF($T135&lt;0,"Demanda: redução","")),IF($U135&gt;0,"Concorrência: aumento",IF($U135&lt;0,"Concorrência: redução","")),IF($V135&gt;0,"Estoque: aumento",IF($V135&lt;0,"Estoque: redução","")),IF(ABS($W135-$X135)&gt;0.0000001,"Limite da rodada aplicado",""),IF($AB135="Piso","Piso vigente aplicado",IF($AB135="Teto","Teto aplicado","")),IF(AND($T135=0,$U135=0,$V135=0),"Sem gatilho de reajuste",""))))</f>
        <v/>
      </c>
      <c r="AD135" s="21">
        <f>IF(OR($A135="",$AG135&lt;&gt;"Pronta"),"",_xlfn.TEXTJOIN(" | ",TRUE,IF($E135&lt;$Q135,"Preço atual abaixo do piso",""),IF($E135&gt;$R135,"Preço atual acima do teto",""),IF(AND($N135&gt;0,$E135&gt;0,1-$N135/$E135&lt;$O135),"Margem estimada do preço atual abaixo do mínimo",""),IF($G135="","Preço concorrente não informado",""),IF($AB135="Piso","Recomendação travada no piso",""),IF($AB135="Teto","Recomendação travada no teto","")))</f>
        <v/>
      </c>
      <c r="AE135" s="19">
        <f>IF($AG135&lt;&gt;"Pronta","",IF($I135="Aprovar recomendação",$Z135,IF($I135="Manter preço atual",$E135,IF($I135="Definir manualmente",$J135,""))))</f>
        <v/>
      </c>
      <c r="AF135" s="21">
        <f>IF($A135="","",IF($AG135&lt;&gt;"Pronta","Aguardando correção",IF(OR($I135="",$I135="Pendente"),"Decisão pendente",IF(AND($I135="Definir manualmente",OR($J135="",$J135&lt;=0)),"Informe o preço manual",IF(OR($AE135&lt;$Q135,$AE135&gt;$R135),"Preço final fora do piso/teto","OK")))))</f>
        <v/>
      </c>
      <c r="AG135" s="26">
        <f>IF(COUNTA($A135:$K135)=0,"",IF(OR($A135="",$B135="",$C135="",$D135="",$E135="",$F135="",$H135=""),"Incompleta",IF(OR(COUNTIF($A$5:$A$204,$A135)&gt;1,NOT(ISNUMBER($B135)),COUNTIF(Produtos!$A$4:$A$103,$C135)&lt;&gt;1,IFERROR(INDEX(Produtos!$K$4:$K$103,MATCH($C135,Produtos!$A$4:$A$103,0))&lt;&gt;"Ativo",TRUE),IFERROR(INDEX(Produtos!$L$4:$L$103,MATCH($C135,Produtos!$A$4:$A$103,0))&lt;&gt;"OK",TRUE),COUNTIF(Regras!$A$4:$A$103,$D135)&lt;&gt;1,IFERROR(INDEX(Regras!$O$4:$O$103,MATCH($D135,Regras!$A$4:$A$103,0))&lt;&gt;"Sim",TRUE),IFERROR(INDEX(Regras!$P$4:$P$103,MATCH($D135,Regras!$A$4:$A$103,0))&lt;&gt;"OK",TRUE),NOT(ISNUMBER($E135)),$E135&lt;=0,NOT(ISNUMBER($F135)),$F135&lt;0,$F135&gt;5,NOT(ISNUMBER($H135)),$H135&lt;0,$H135&lt;&gt;INT($H135),AND($G135&lt;&gt;"",OR(NOT(ISNUMBER($G135)),$G135&lt;=0))),"Revisar","Pronta")))</f>
        <v/>
      </c>
    </row>
    <row r="136">
      <c r="A136" s="16" t="n"/>
      <c r="B136" s="24" t="n"/>
      <c r="C136" s="16" t="n"/>
      <c r="D136" s="16" t="n"/>
      <c r="E136" s="17" t="n"/>
      <c r="F136" s="18" t="n"/>
      <c r="G136" s="17" t="n"/>
      <c r="H136" s="20" t="n"/>
      <c r="I136" s="16" t="n"/>
      <c r="J136" s="17" t="n"/>
      <c r="K136" s="25" t="n"/>
      <c r="L136" s="26">
        <f>IF($C136="","",IFERROR(INDEX(Produtos!$B$4:$B$103,MATCH($C136,Produtos!$A$4:$A$103,0)),""))</f>
        <v/>
      </c>
      <c r="M136" s="26">
        <f>IF($C136="","",IFERROR(INDEX(Produtos!$C$4:$C$103,MATCH($C136,Produtos!$A$4:$A$103,0)),""))</f>
        <v/>
      </c>
      <c r="N136" s="19">
        <f>IF($C136="","",IFERROR(INDEX(Produtos!$D$4:$D$103,MATCH($C136,Produtos!$A$4:$A$103,0)),""))</f>
        <v/>
      </c>
      <c r="O136" s="27">
        <f>IF($C136="","",IFERROR(INDEX(Produtos!$E$4:$E$103,MATCH($C136,Produtos!$A$4:$A$103,0)),""))</f>
        <v/>
      </c>
      <c r="P136" s="19">
        <f>IF($C136="","",IFERROR(INDEX(Produtos!$G$4:$G$103,MATCH($C136,Produtos!$A$4:$A$103,0)),""))</f>
        <v/>
      </c>
      <c r="Q136" s="19">
        <f>IF($C136="","",IFERROR(INDEX(Produtos!$H$4:$H$103,MATCH($C136,Produtos!$A$4:$A$103,0)),""))</f>
        <v/>
      </c>
      <c r="R136" s="19">
        <f>IF($C136="","",IFERROR(INDEX(Produtos!$I$4:$I$103,MATCH($C136,Produtos!$A$4:$A$103,0)),""))</f>
        <v/>
      </c>
      <c r="S136" s="28">
        <f>IF($C136="","",IFERROR(INDEX(Produtos!$J$4:$J$103,MATCH($C136,Produtos!$A$4:$A$103,0)),""))</f>
        <v/>
      </c>
      <c r="T136" s="27">
        <f>IF($AG136&lt;&gt;"Pronta","",IFERROR(IF($F136&lt;=INDEX(Regras!$C$4:$C$103,MATCH($D136,Regras!$A$4:$A$103,0)),INDEX(Regras!$E$4:$E$103,MATCH($D136,Regras!$A$4:$A$103,0)),IF($F136&gt;=INDEX(Regras!$D$4:$D$103,MATCH($D136,Regras!$A$4:$A$103,0)),INDEX(Regras!$F$4:$F$103,MATCH($D136,Regras!$A$4:$A$103,0)),0)),""))</f>
        <v/>
      </c>
      <c r="U136" s="27">
        <f>IF($AG136&lt;&gt;"Pronta","",IFERROR(IF($G136="",0,IF($G136&lt;=$E136*(1-INDEX(Regras!$G$4:$G$103,MATCH($D136,Regras!$A$4:$A$103,0))),INDEX(Regras!$H$4:$H$103,MATCH($D136,Regras!$A$4:$A$103,0)),IF($G136&gt;=$E136*(1+INDEX(Regras!$G$4:$G$103,MATCH($D136,Regras!$A$4:$A$103,0))),INDEX(Regras!$I$4:$I$103,MATCH($D136,Regras!$A$4:$A$103,0)),0))),""))</f>
        <v/>
      </c>
      <c r="V136" s="27">
        <f>IF($AG136&lt;&gt;"Pronta","",IFERROR(IF($H136/$S136&lt;=INDEX(Regras!$J$4:$J$103,MATCH($D136,Regras!$A$4:$A$103,0)),INDEX(Regras!$L$4:$L$103,MATCH($D136,Regras!$A$4:$A$103,0)),IF($H136/$S136&gt;=INDEX(Regras!$K$4:$K$103,MATCH($D136,Regras!$A$4:$A$103,0)),INDEX(Regras!$M$4:$M$103,MATCH($D136,Regras!$A$4:$A$103,0)),0)),""))</f>
        <v/>
      </c>
      <c r="W136" s="27">
        <f>IF($AG136&lt;&gt;"Pronta","",SUM($T136:$V136))</f>
        <v/>
      </c>
      <c r="X136" s="27">
        <f>IF($AG136&lt;&gt;"Pronta","",IFERROR(MAX(-INDEX(Regras!$N$4:$N$103,MATCH($D136,Regras!$A$4:$A$103,0)),MIN(INDEX(Regras!$N$4:$N$103,MATCH($D136,Regras!$A$4:$A$103,0)),$W136)),""))</f>
        <v/>
      </c>
      <c r="Y136" s="19">
        <f>IF($AG136&lt;&gt;"Pronta","",IFERROR(ROUND($E136*(1+$X136),2),""))</f>
        <v/>
      </c>
      <c r="Z136" s="29">
        <f>IF(OR($AG136&lt;&gt;"Pronta",$Q136="",$R136=""),"",IFERROR(ROUND(MIN($R136,MAX($Q136,$Y136)),2),""))</f>
        <v/>
      </c>
      <c r="AA136" s="27">
        <f>IF(OR($E136="",$Z136=""),"",IFERROR($Z136/$E136-1,""))</f>
        <v/>
      </c>
      <c r="AB136" s="26">
        <f>IF($Z136="","",IF($Y136&lt;$Q136,"Piso",IF($Y136&gt;$R136,"Teto","Nenhuma")))</f>
        <v/>
      </c>
      <c r="AC136" s="21">
        <f>IF($A136="","",IF($AG136&lt;&gt;"Pronta","Aguardando dados válidos",_xlfn.TEXTJOIN(" | ",TRUE,IF($T136&gt;0,"Demanda: aumento",IF($T136&lt;0,"Demanda: redução","")),IF($U136&gt;0,"Concorrência: aumento",IF($U136&lt;0,"Concorrência: redução","")),IF($V136&gt;0,"Estoque: aumento",IF($V136&lt;0,"Estoque: redução","")),IF(ABS($W136-$X136)&gt;0.0000001,"Limite da rodada aplicado",""),IF($AB136="Piso","Piso vigente aplicado",IF($AB136="Teto","Teto aplicado","")),IF(AND($T136=0,$U136=0,$V136=0),"Sem gatilho de reajuste",""))))</f>
        <v/>
      </c>
      <c r="AD136" s="21">
        <f>IF(OR($A136="",$AG136&lt;&gt;"Pronta"),"",_xlfn.TEXTJOIN(" | ",TRUE,IF($E136&lt;$Q136,"Preço atual abaixo do piso",""),IF($E136&gt;$R136,"Preço atual acima do teto",""),IF(AND($N136&gt;0,$E136&gt;0,1-$N136/$E136&lt;$O136),"Margem estimada do preço atual abaixo do mínimo",""),IF($G136="","Preço concorrente não informado",""),IF($AB136="Piso","Recomendação travada no piso",""),IF($AB136="Teto","Recomendação travada no teto","")))</f>
        <v/>
      </c>
      <c r="AE136" s="19">
        <f>IF($AG136&lt;&gt;"Pronta","",IF($I136="Aprovar recomendação",$Z136,IF($I136="Manter preço atual",$E136,IF($I136="Definir manualmente",$J136,""))))</f>
        <v/>
      </c>
      <c r="AF136" s="21">
        <f>IF($A136="","",IF($AG136&lt;&gt;"Pronta","Aguardando correção",IF(OR($I136="",$I136="Pendente"),"Decisão pendente",IF(AND($I136="Definir manualmente",OR($J136="",$J136&lt;=0)),"Informe o preço manual",IF(OR($AE136&lt;$Q136,$AE136&gt;$R136),"Preço final fora do piso/teto","OK")))))</f>
        <v/>
      </c>
      <c r="AG136" s="26">
        <f>IF(COUNTA($A136:$K136)=0,"",IF(OR($A136="",$B136="",$C136="",$D136="",$E136="",$F136="",$H136=""),"Incompleta",IF(OR(COUNTIF($A$5:$A$204,$A136)&gt;1,NOT(ISNUMBER($B136)),COUNTIF(Produtos!$A$4:$A$103,$C136)&lt;&gt;1,IFERROR(INDEX(Produtos!$K$4:$K$103,MATCH($C136,Produtos!$A$4:$A$103,0))&lt;&gt;"Ativo",TRUE),IFERROR(INDEX(Produtos!$L$4:$L$103,MATCH($C136,Produtos!$A$4:$A$103,0))&lt;&gt;"OK",TRUE),COUNTIF(Regras!$A$4:$A$103,$D136)&lt;&gt;1,IFERROR(INDEX(Regras!$O$4:$O$103,MATCH($D136,Regras!$A$4:$A$103,0))&lt;&gt;"Sim",TRUE),IFERROR(INDEX(Regras!$P$4:$P$103,MATCH($D136,Regras!$A$4:$A$103,0))&lt;&gt;"OK",TRUE),NOT(ISNUMBER($E136)),$E136&lt;=0,NOT(ISNUMBER($F136)),$F136&lt;0,$F136&gt;5,NOT(ISNUMBER($H136)),$H136&lt;0,$H136&lt;&gt;INT($H136),AND($G136&lt;&gt;"",OR(NOT(ISNUMBER($G136)),$G136&lt;=0))),"Revisar","Pronta")))</f>
        <v/>
      </c>
    </row>
    <row r="137">
      <c r="A137" s="16" t="n"/>
      <c r="B137" s="24" t="n"/>
      <c r="C137" s="16" t="n"/>
      <c r="D137" s="16" t="n"/>
      <c r="E137" s="17" t="n"/>
      <c r="F137" s="18" t="n"/>
      <c r="G137" s="17" t="n"/>
      <c r="H137" s="20" t="n"/>
      <c r="I137" s="16" t="n"/>
      <c r="J137" s="17" t="n"/>
      <c r="K137" s="25" t="n"/>
      <c r="L137" s="26">
        <f>IF($C137="","",IFERROR(INDEX(Produtos!$B$4:$B$103,MATCH($C137,Produtos!$A$4:$A$103,0)),""))</f>
        <v/>
      </c>
      <c r="M137" s="26">
        <f>IF($C137="","",IFERROR(INDEX(Produtos!$C$4:$C$103,MATCH($C137,Produtos!$A$4:$A$103,0)),""))</f>
        <v/>
      </c>
      <c r="N137" s="19">
        <f>IF($C137="","",IFERROR(INDEX(Produtos!$D$4:$D$103,MATCH($C137,Produtos!$A$4:$A$103,0)),""))</f>
        <v/>
      </c>
      <c r="O137" s="27">
        <f>IF($C137="","",IFERROR(INDEX(Produtos!$E$4:$E$103,MATCH($C137,Produtos!$A$4:$A$103,0)),""))</f>
        <v/>
      </c>
      <c r="P137" s="19">
        <f>IF($C137="","",IFERROR(INDEX(Produtos!$G$4:$G$103,MATCH($C137,Produtos!$A$4:$A$103,0)),""))</f>
        <v/>
      </c>
      <c r="Q137" s="19">
        <f>IF($C137="","",IFERROR(INDEX(Produtos!$H$4:$H$103,MATCH($C137,Produtos!$A$4:$A$103,0)),""))</f>
        <v/>
      </c>
      <c r="R137" s="19">
        <f>IF($C137="","",IFERROR(INDEX(Produtos!$I$4:$I$103,MATCH($C137,Produtos!$A$4:$A$103,0)),""))</f>
        <v/>
      </c>
      <c r="S137" s="28">
        <f>IF($C137="","",IFERROR(INDEX(Produtos!$J$4:$J$103,MATCH($C137,Produtos!$A$4:$A$103,0)),""))</f>
        <v/>
      </c>
      <c r="T137" s="27">
        <f>IF($AG137&lt;&gt;"Pronta","",IFERROR(IF($F137&lt;=INDEX(Regras!$C$4:$C$103,MATCH($D137,Regras!$A$4:$A$103,0)),INDEX(Regras!$E$4:$E$103,MATCH($D137,Regras!$A$4:$A$103,0)),IF($F137&gt;=INDEX(Regras!$D$4:$D$103,MATCH($D137,Regras!$A$4:$A$103,0)),INDEX(Regras!$F$4:$F$103,MATCH($D137,Regras!$A$4:$A$103,0)),0)),""))</f>
        <v/>
      </c>
      <c r="U137" s="27">
        <f>IF($AG137&lt;&gt;"Pronta","",IFERROR(IF($G137="",0,IF($G137&lt;=$E137*(1-INDEX(Regras!$G$4:$G$103,MATCH($D137,Regras!$A$4:$A$103,0))),INDEX(Regras!$H$4:$H$103,MATCH($D137,Regras!$A$4:$A$103,0)),IF($G137&gt;=$E137*(1+INDEX(Regras!$G$4:$G$103,MATCH($D137,Regras!$A$4:$A$103,0))),INDEX(Regras!$I$4:$I$103,MATCH($D137,Regras!$A$4:$A$103,0)),0))),""))</f>
        <v/>
      </c>
      <c r="V137" s="27">
        <f>IF($AG137&lt;&gt;"Pronta","",IFERROR(IF($H137/$S137&lt;=INDEX(Regras!$J$4:$J$103,MATCH($D137,Regras!$A$4:$A$103,0)),INDEX(Regras!$L$4:$L$103,MATCH($D137,Regras!$A$4:$A$103,0)),IF($H137/$S137&gt;=INDEX(Regras!$K$4:$K$103,MATCH($D137,Regras!$A$4:$A$103,0)),INDEX(Regras!$M$4:$M$103,MATCH($D137,Regras!$A$4:$A$103,0)),0)),""))</f>
        <v/>
      </c>
      <c r="W137" s="27">
        <f>IF($AG137&lt;&gt;"Pronta","",SUM($T137:$V137))</f>
        <v/>
      </c>
      <c r="X137" s="27">
        <f>IF($AG137&lt;&gt;"Pronta","",IFERROR(MAX(-INDEX(Regras!$N$4:$N$103,MATCH($D137,Regras!$A$4:$A$103,0)),MIN(INDEX(Regras!$N$4:$N$103,MATCH($D137,Regras!$A$4:$A$103,0)),$W137)),""))</f>
        <v/>
      </c>
      <c r="Y137" s="19">
        <f>IF($AG137&lt;&gt;"Pronta","",IFERROR(ROUND($E137*(1+$X137),2),""))</f>
        <v/>
      </c>
      <c r="Z137" s="29">
        <f>IF(OR($AG137&lt;&gt;"Pronta",$Q137="",$R137=""),"",IFERROR(ROUND(MIN($R137,MAX($Q137,$Y137)),2),""))</f>
        <v/>
      </c>
      <c r="AA137" s="27">
        <f>IF(OR($E137="",$Z137=""),"",IFERROR($Z137/$E137-1,""))</f>
        <v/>
      </c>
      <c r="AB137" s="26">
        <f>IF($Z137="","",IF($Y137&lt;$Q137,"Piso",IF($Y137&gt;$R137,"Teto","Nenhuma")))</f>
        <v/>
      </c>
      <c r="AC137" s="21">
        <f>IF($A137="","",IF($AG137&lt;&gt;"Pronta","Aguardando dados válidos",_xlfn.TEXTJOIN(" | ",TRUE,IF($T137&gt;0,"Demanda: aumento",IF($T137&lt;0,"Demanda: redução","")),IF($U137&gt;0,"Concorrência: aumento",IF($U137&lt;0,"Concorrência: redução","")),IF($V137&gt;0,"Estoque: aumento",IF($V137&lt;0,"Estoque: redução","")),IF(ABS($W137-$X137)&gt;0.0000001,"Limite da rodada aplicado",""),IF($AB137="Piso","Piso vigente aplicado",IF($AB137="Teto","Teto aplicado","")),IF(AND($T137=0,$U137=0,$V137=0),"Sem gatilho de reajuste",""))))</f>
        <v/>
      </c>
      <c r="AD137" s="21">
        <f>IF(OR($A137="",$AG137&lt;&gt;"Pronta"),"",_xlfn.TEXTJOIN(" | ",TRUE,IF($E137&lt;$Q137,"Preço atual abaixo do piso",""),IF($E137&gt;$R137,"Preço atual acima do teto",""),IF(AND($N137&gt;0,$E137&gt;0,1-$N137/$E137&lt;$O137),"Margem estimada do preço atual abaixo do mínimo",""),IF($G137="","Preço concorrente não informado",""),IF($AB137="Piso","Recomendação travada no piso",""),IF($AB137="Teto","Recomendação travada no teto","")))</f>
        <v/>
      </c>
      <c r="AE137" s="19">
        <f>IF($AG137&lt;&gt;"Pronta","",IF($I137="Aprovar recomendação",$Z137,IF($I137="Manter preço atual",$E137,IF($I137="Definir manualmente",$J137,""))))</f>
        <v/>
      </c>
      <c r="AF137" s="21">
        <f>IF($A137="","",IF($AG137&lt;&gt;"Pronta","Aguardando correção",IF(OR($I137="",$I137="Pendente"),"Decisão pendente",IF(AND($I137="Definir manualmente",OR($J137="",$J137&lt;=0)),"Informe o preço manual",IF(OR($AE137&lt;$Q137,$AE137&gt;$R137),"Preço final fora do piso/teto","OK")))))</f>
        <v/>
      </c>
      <c r="AG137" s="26">
        <f>IF(COUNTA($A137:$K137)=0,"",IF(OR($A137="",$B137="",$C137="",$D137="",$E137="",$F137="",$H137=""),"Incompleta",IF(OR(COUNTIF($A$5:$A$204,$A137)&gt;1,NOT(ISNUMBER($B137)),COUNTIF(Produtos!$A$4:$A$103,$C137)&lt;&gt;1,IFERROR(INDEX(Produtos!$K$4:$K$103,MATCH($C137,Produtos!$A$4:$A$103,0))&lt;&gt;"Ativo",TRUE),IFERROR(INDEX(Produtos!$L$4:$L$103,MATCH($C137,Produtos!$A$4:$A$103,0))&lt;&gt;"OK",TRUE),COUNTIF(Regras!$A$4:$A$103,$D137)&lt;&gt;1,IFERROR(INDEX(Regras!$O$4:$O$103,MATCH($D137,Regras!$A$4:$A$103,0))&lt;&gt;"Sim",TRUE),IFERROR(INDEX(Regras!$P$4:$P$103,MATCH($D137,Regras!$A$4:$A$103,0))&lt;&gt;"OK",TRUE),NOT(ISNUMBER($E137)),$E137&lt;=0,NOT(ISNUMBER($F137)),$F137&lt;0,$F137&gt;5,NOT(ISNUMBER($H137)),$H137&lt;0,$H137&lt;&gt;INT($H137),AND($G137&lt;&gt;"",OR(NOT(ISNUMBER($G137)),$G137&lt;=0))),"Revisar","Pronta")))</f>
        <v/>
      </c>
    </row>
    <row r="138">
      <c r="A138" s="16" t="n"/>
      <c r="B138" s="24" t="n"/>
      <c r="C138" s="16" t="n"/>
      <c r="D138" s="16" t="n"/>
      <c r="E138" s="17" t="n"/>
      <c r="F138" s="18" t="n"/>
      <c r="G138" s="17" t="n"/>
      <c r="H138" s="20" t="n"/>
      <c r="I138" s="16" t="n"/>
      <c r="J138" s="17" t="n"/>
      <c r="K138" s="25" t="n"/>
      <c r="L138" s="26">
        <f>IF($C138="","",IFERROR(INDEX(Produtos!$B$4:$B$103,MATCH($C138,Produtos!$A$4:$A$103,0)),""))</f>
        <v/>
      </c>
      <c r="M138" s="26">
        <f>IF($C138="","",IFERROR(INDEX(Produtos!$C$4:$C$103,MATCH($C138,Produtos!$A$4:$A$103,0)),""))</f>
        <v/>
      </c>
      <c r="N138" s="19">
        <f>IF($C138="","",IFERROR(INDEX(Produtos!$D$4:$D$103,MATCH($C138,Produtos!$A$4:$A$103,0)),""))</f>
        <v/>
      </c>
      <c r="O138" s="27">
        <f>IF($C138="","",IFERROR(INDEX(Produtos!$E$4:$E$103,MATCH($C138,Produtos!$A$4:$A$103,0)),""))</f>
        <v/>
      </c>
      <c r="P138" s="19">
        <f>IF($C138="","",IFERROR(INDEX(Produtos!$G$4:$G$103,MATCH($C138,Produtos!$A$4:$A$103,0)),""))</f>
        <v/>
      </c>
      <c r="Q138" s="19">
        <f>IF($C138="","",IFERROR(INDEX(Produtos!$H$4:$H$103,MATCH($C138,Produtos!$A$4:$A$103,0)),""))</f>
        <v/>
      </c>
      <c r="R138" s="19">
        <f>IF($C138="","",IFERROR(INDEX(Produtos!$I$4:$I$103,MATCH($C138,Produtos!$A$4:$A$103,0)),""))</f>
        <v/>
      </c>
      <c r="S138" s="28">
        <f>IF($C138="","",IFERROR(INDEX(Produtos!$J$4:$J$103,MATCH($C138,Produtos!$A$4:$A$103,0)),""))</f>
        <v/>
      </c>
      <c r="T138" s="27">
        <f>IF($AG138&lt;&gt;"Pronta","",IFERROR(IF($F138&lt;=INDEX(Regras!$C$4:$C$103,MATCH($D138,Regras!$A$4:$A$103,0)),INDEX(Regras!$E$4:$E$103,MATCH($D138,Regras!$A$4:$A$103,0)),IF($F138&gt;=INDEX(Regras!$D$4:$D$103,MATCH($D138,Regras!$A$4:$A$103,0)),INDEX(Regras!$F$4:$F$103,MATCH($D138,Regras!$A$4:$A$103,0)),0)),""))</f>
        <v/>
      </c>
      <c r="U138" s="27">
        <f>IF($AG138&lt;&gt;"Pronta","",IFERROR(IF($G138="",0,IF($G138&lt;=$E138*(1-INDEX(Regras!$G$4:$G$103,MATCH($D138,Regras!$A$4:$A$103,0))),INDEX(Regras!$H$4:$H$103,MATCH($D138,Regras!$A$4:$A$103,0)),IF($G138&gt;=$E138*(1+INDEX(Regras!$G$4:$G$103,MATCH($D138,Regras!$A$4:$A$103,0))),INDEX(Regras!$I$4:$I$103,MATCH($D138,Regras!$A$4:$A$103,0)),0))),""))</f>
        <v/>
      </c>
      <c r="V138" s="27">
        <f>IF($AG138&lt;&gt;"Pronta","",IFERROR(IF($H138/$S138&lt;=INDEX(Regras!$J$4:$J$103,MATCH($D138,Regras!$A$4:$A$103,0)),INDEX(Regras!$L$4:$L$103,MATCH($D138,Regras!$A$4:$A$103,0)),IF($H138/$S138&gt;=INDEX(Regras!$K$4:$K$103,MATCH($D138,Regras!$A$4:$A$103,0)),INDEX(Regras!$M$4:$M$103,MATCH($D138,Regras!$A$4:$A$103,0)),0)),""))</f>
        <v/>
      </c>
      <c r="W138" s="27">
        <f>IF($AG138&lt;&gt;"Pronta","",SUM($T138:$V138))</f>
        <v/>
      </c>
      <c r="X138" s="27">
        <f>IF($AG138&lt;&gt;"Pronta","",IFERROR(MAX(-INDEX(Regras!$N$4:$N$103,MATCH($D138,Regras!$A$4:$A$103,0)),MIN(INDEX(Regras!$N$4:$N$103,MATCH($D138,Regras!$A$4:$A$103,0)),$W138)),""))</f>
        <v/>
      </c>
      <c r="Y138" s="19">
        <f>IF($AG138&lt;&gt;"Pronta","",IFERROR(ROUND($E138*(1+$X138),2),""))</f>
        <v/>
      </c>
      <c r="Z138" s="29">
        <f>IF(OR($AG138&lt;&gt;"Pronta",$Q138="",$R138=""),"",IFERROR(ROUND(MIN($R138,MAX($Q138,$Y138)),2),""))</f>
        <v/>
      </c>
      <c r="AA138" s="27">
        <f>IF(OR($E138="",$Z138=""),"",IFERROR($Z138/$E138-1,""))</f>
        <v/>
      </c>
      <c r="AB138" s="26">
        <f>IF($Z138="","",IF($Y138&lt;$Q138,"Piso",IF($Y138&gt;$R138,"Teto","Nenhuma")))</f>
        <v/>
      </c>
      <c r="AC138" s="21">
        <f>IF($A138="","",IF($AG138&lt;&gt;"Pronta","Aguardando dados válidos",_xlfn.TEXTJOIN(" | ",TRUE,IF($T138&gt;0,"Demanda: aumento",IF($T138&lt;0,"Demanda: redução","")),IF($U138&gt;0,"Concorrência: aumento",IF($U138&lt;0,"Concorrência: redução","")),IF($V138&gt;0,"Estoque: aumento",IF($V138&lt;0,"Estoque: redução","")),IF(ABS($W138-$X138)&gt;0.0000001,"Limite da rodada aplicado",""),IF($AB138="Piso","Piso vigente aplicado",IF($AB138="Teto","Teto aplicado","")),IF(AND($T138=0,$U138=0,$V138=0),"Sem gatilho de reajuste",""))))</f>
        <v/>
      </c>
      <c r="AD138" s="21">
        <f>IF(OR($A138="",$AG138&lt;&gt;"Pronta"),"",_xlfn.TEXTJOIN(" | ",TRUE,IF($E138&lt;$Q138,"Preço atual abaixo do piso",""),IF($E138&gt;$R138,"Preço atual acima do teto",""),IF(AND($N138&gt;0,$E138&gt;0,1-$N138/$E138&lt;$O138),"Margem estimada do preço atual abaixo do mínimo",""),IF($G138="","Preço concorrente não informado",""),IF($AB138="Piso","Recomendação travada no piso",""),IF($AB138="Teto","Recomendação travada no teto","")))</f>
        <v/>
      </c>
      <c r="AE138" s="19">
        <f>IF($AG138&lt;&gt;"Pronta","",IF($I138="Aprovar recomendação",$Z138,IF($I138="Manter preço atual",$E138,IF($I138="Definir manualmente",$J138,""))))</f>
        <v/>
      </c>
      <c r="AF138" s="21">
        <f>IF($A138="","",IF($AG138&lt;&gt;"Pronta","Aguardando correção",IF(OR($I138="",$I138="Pendente"),"Decisão pendente",IF(AND($I138="Definir manualmente",OR($J138="",$J138&lt;=0)),"Informe o preço manual",IF(OR($AE138&lt;$Q138,$AE138&gt;$R138),"Preço final fora do piso/teto","OK")))))</f>
        <v/>
      </c>
      <c r="AG138" s="26">
        <f>IF(COUNTA($A138:$K138)=0,"",IF(OR($A138="",$B138="",$C138="",$D138="",$E138="",$F138="",$H138=""),"Incompleta",IF(OR(COUNTIF($A$5:$A$204,$A138)&gt;1,NOT(ISNUMBER($B138)),COUNTIF(Produtos!$A$4:$A$103,$C138)&lt;&gt;1,IFERROR(INDEX(Produtos!$K$4:$K$103,MATCH($C138,Produtos!$A$4:$A$103,0))&lt;&gt;"Ativo",TRUE),IFERROR(INDEX(Produtos!$L$4:$L$103,MATCH($C138,Produtos!$A$4:$A$103,0))&lt;&gt;"OK",TRUE),COUNTIF(Regras!$A$4:$A$103,$D138)&lt;&gt;1,IFERROR(INDEX(Regras!$O$4:$O$103,MATCH($D138,Regras!$A$4:$A$103,0))&lt;&gt;"Sim",TRUE),IFERROR(INDEX(Regras!$P$4:$P$103,MATCH($D138,Regras!$A$4:$A$103,0))&lt;&gt;"OK",TRUE),NOT(ISNUMBER($E138)),$E138&lt;=0,NOT(ISNUMBER($F138)),$F138&lt;0,$F138&gt;5,NOT(ISNUMBER($H138)),$H138&lt;0,$H138&lt;&gt;INT($H138),AND($G138&lt;&gt;"",OR(NOT(ISNUMBER($G138)),$G138&lt;=0))),"Revisar","Pronta")))</f>
        <v/>
      </c>
    </row>
    <row r="139">
      <c r="A139" s="16" t="n"/>
      <c r="B139" s="24" t="n"/>
      <c r="C139" s="16" t="n"/>
      <c r="D139" s="16" t="n"/>
      <c r="E139" s="17" t="n"/>
      <c r="F139" s="18" t="n"/>
      <c r="G139" s="17" t="n"/>
      <c r="H139" s="20" t="n"/>
      <c r="I139" s="16" t="n"/>
      <c r="J139" s="17" t="n"/>
      <c r="K139" s="25" t="n"/>
      <c r="L139" s="26">
        <f>IF($C139="","",IFERROR(INDEX(Produtos!$B$4:$B$103,MATCH($C139,Produtos!$A$4:$A$103,0)),""))</f>
        <v/>
      </c>
      <c r="M139" s="26">
        <f>IF($C139="","",IFERROR(INDEX(Produtos!$C$4:$C$103,MATCH($C139,Produtos!$A$4:$A$103,0)),""))</f>
        <v/>
      </c>
      <c r="N139" s="19">
        <f>IF($C139="","",IFERROR(INDEX(Produtos!$D$4:$D$103,MATCH($C139,Produtos!$A$4:$A$103,0)),""))</f>
        <v/>
      </c>
      <c r="O139" s="27">
        <f>IF($C139="","",IFERROR(INDEX(Produtos!$E$4:$E$103,MATCH($C139,Produtos!$A$4:$A$103,0)),""))</f>
        <v/>
      </c>
      <c r="P139" s="19">
        <f>IF($C139="","",IFERROR(INDEX(Produtos!$G$4:$G$103,MATCH($C139,Produtos!$A$4:$A$103,0)),""))</f>
        <v/>
      </c>
      <c r="Q139" s="19">
        <f>IF($C139="","",IFERROR(INDEX(Produtos!$H$4:$H$103,MATCH($C139,Produtos!$A$4:$A$103,0)),""))</f>
        <v/>
      </c>
      <c r="R139" s="19">
        <f>IF($C139="","",IFERROR(INDEX(Produtos!$I$4:$I$103,MATCH($C139,Produtos!$A$4:$A$103,0)),""))</f>
        <v/>
      </c>
      <c r="S139" s="28">
        <f>IF($C139="","",IFERROR(INDEX(Produtos!$J$4:$J$103,MATCH($C139,Produtos!$A$4:$A$103,0)),""))</f>
        <v/>
      </c>
      <c r="T139" s="27">
        <f>IF($AG139&lt;&gt;"Pronta","",IFERROR(IF($F139&lt;=INDEX(Regras!$C$4:$C$103,MATCH($D139,Regras!$A$4:$A$103,0)),INDEX(Regras!$E$4:$E$103,MATCH($D139,Regras!$A$4:$A$103,0)),IF($F139&gt;=INDEX(Regras!$D$4:$D$103,MATCH($D139,Regras!$A$4:$A$103,0)),INDEX(Regras!$F$4:$F$103,MATCH($D139,Regras!$A$4:$A$103,0)),0)),""))</f>
        <v/>
      </c>
      <c r="U139" s="27">
        <f>IF($AG139&lt;&gt;"Pronta","",IFERROR(IF($G139="",0,IF($G139&lt;=$E139*(1-INDEX(Regras!$G$4:$G$103,MATCH($D139,Regras!$A$4:$A$103,0))),INDEX(Regras!$H$4:$H$103,MATCH($D139,Regras!$A$4:$A$103,0)),IF($G139&gt;=$E139*(1+INDEX(Regras!$G$4:$G$103,MATCH($D139,Regras!$A$4:$A$103,0))),INDEX(Regras!$I$4:$I$103,MATCH($D139,Regras!$A$4:$A$103,0)),0))),""))</f>
        <v/>
      </c>
      <c r="V139" s="27">
        <f>IF($AG139&lt;&gt;"Pronta","",IFERROR(IF($H139/$S139&lt;=INDEX(Regras!$J$4:$J$103,MATCH($D139,Regras!$A$4:$A$103,0)),INDEX(Regras!$L$4:$L$103,MATCH($D139,Regras!$A$4:$A$103,0)),IF($H139/$S139&gt;=INDEX(Regras!$K$4:$K$103,MATCH($D139,Regras!$A$4:$A$103,0)),INDEX(Regras!$M$4:$M$103,MATCH($D139,Regras!$A$4:$A$103,0)),0)),""))</f>
        <v/>
      </c>
      <c r="W139" s="27">
        <f>IF($AG139&lt;&gt;"Pronta","",SUM($T139:$V139))</f>
        <v/>
      </c>
      <c r="X139" s="27">
        <f>IF($AG139&lt;&gt;"Pronta","",IFERROR(MAX(-INDEX(Regras!$N$4:$N$103,MATCH($D139,Regras!$A$4:$A$103,0)),MIN(INDEX(Regras!$N$4:$N$103,MATCH($D139,Regras!$A$4:$A$103,0)),$W139)),""))</f>
        <v/>
      </c>
      <c r="Y139" s="19">
        <f>IF($AG139&lt;&gt;"Pronta","",IFERROR(ROUND($E139*(1+$X139),2),""))</f>
        <v/>
      </c>
      <c r="Z139" s="29">
        <f>IF(OR($AG139&lt;&gt;"Pronta",$Q139="",$R139=""),"",IFERROR(ROUND(MIN($R139,MAX($Q139,$Y139)),2),""))</f>
        <v/>
      </c>
      <c r="AA139" s="27">
        <f>IF(OR($E139="",$Z139=""),"",IFERROR($Z139/$E139-1,""))</f>
        <v/>
      </c>
      <c r="AB139" s="26">
        <f>IF($Z139="","",IF($Y139&lt;$Q139,"Piso",IF($Y139&gt;$R139,"Teto","Nenhuma")))</f>
        <v/>
      </c>
      <c r="AC139" s="21">
        <f>IF($A139="","",IF($AG139&lt;&gt;"Pronta","Aguardando dados válidos",_xlfn.TEXTJOIN(" | ",TRUE,IF($T139&gt;0,"Demanda: aumento",IF($T139&lt;0,"Demanda: redução","")),IF($U139&gt;0,"Concorrência: aumento",IF($U139&lt;0,"Concorrência: redução","")),IF($V139&gt;0,"Estoque: aumento",IF($V139&lt;0,"Estoque: redução","")),IF(ABS($W139-$X139)&gt;0.0000001,"Limite da rodada aplicado",""),IF($AB139="Piso","Piso vigente aplicado",IF($AB139="Teto","Teto aplicado","")),IF(AND($T139=0,$U139=0,$V139=0),"Sem gatilho de reajuste",""))))</f>
        <v/>
      </c>
      <c r="AD139" s="21">
        <f>IF(OR($A139="",$AG139&lt;&gt;"Pronta"),"",_xlfn.TEXTJOIN(" | ",TRUE,IF($E139&lt;$Q139,"Preço atual abaixo do piso",""),IF($E139&gt;$R139,"Preço atual acima do teto",""),IF(AND($N139&gt;0,$E139&gt;0,1-$N139/$E139&lt;$O139),"Margem estimada do preço atual abaixo do mínimo",""),IF($G139="","Preço concorrente não informado",""),IF($AB139="Piso","Recomendação travada no piso",""),IF($AB139="Teto","Recomendação travada no teto","")))</f>
        <v/>
      </c>
      <c r="AE139" s="19">
        <f>IF($AG139&lt;&gt;"Pronta","",IF($I139="Aprovar recomendação",$Z139,IF($I139="Manter preço atual",$E139,IF($I139="Definir manualmente",$J139,""))))</f>
        <v/>
      </c>
      <c r="AF139" s="21">
        <f>IF($A139="","",IF($AG139&lt;&gt;"Pronta","Aguardando correção",IF(OR($I139="",$I139="Pendente"),"Decisão pendente",IF(AND($I139="Definir manualmente",OR($J139="",$J139&lt;=0)),"Informe o preço manual",IF(OR($AE139&lt;$Q139,$AE139&gt;$R139),"Preço final fora do piso/teto","OK")))))</f>
        <v/>
      </c>
      <c r="AG139" s="26">
        <f>IF(COUNTA($A139:$K139)=0,"",IF(OR($A139="",$B139="",$C139="",$D139="",$E139="",$F139="",$H139=""),"Incompleta",IF(OR(COUNTIF($A$5:$A$204,$A139)&gt;1,NOT(ISNUMBER($B139)),COUNTIF(Produtos!$A$4:$A$103,$C139)&lt;&gt;1,IFERROR(INDEX(Produtos!$K$4:$K$103,MATCH($C139,Produtos!$A$4:$A$103,0))&lt;&gt;"Ativo",TRUE),IFERROR(INDEX(Produtos!$L$4:$L$103,MATCH($C139,Produtos!$A$4:$A$103,0))&lt;&gt;"OK",TRUE),COUNTIF(Regras!$A$4:$A$103,$D139)&lt;&gt;1,IFERROR(INDEX(Regras!$O$4:$O$103,MATCH($D139,Regras!$A$4:$A$103,0))&lt;&gt;"Sim",TRUE),IFERROR(INDEX(Regras!$P$4:$P$103,MATCH($D139,Regras!$A$4:$A$103,0))&lt;&gt;"OK",TRUE),NOT(ISNUMBER($E139)),$E139&lt;=0,NOT(ISNUMBER($F139)),$F139&lt;0,$F139&gt;5,NOT(ISNUMBER($H139)),$H139&lt;0,$H139&lt;&gt;INT($H139),AND($G139&lt;&gt;"",OR(NOT(ISNUMBER($G139)),$G139&lt;=0))),"Revisar","Pronta")))</f>
        <v/>
      </c>
    </row>
    <row r="140">
      <c r="A140" s="16" t="n"/>
      <c r="B140" s="24" t="n"/>
      <c r="C140" s="16" t="n"/>
      <c r="D140" s="16" t="n"/>
      <c r="E140" s="17" t="n"/>
      <c r="F140" s="18" t="n"/>
      <c r="G140" s="17" t="n"/>
      <c r="H140" s="20" t="n"/>
      <c r="I140" s="16" t="n"/>
      <c r="J140" s="17" t="n"/>
      <c r="K140" s="25" t="n"/>
      <c r="L140" s="26">
        <f>IF($C140="","",IFERROR(INDEX(Produtos!$B$4:$B$103,MATCH($C140,Produtos!$A$4:$A$103,0)),""))</f>
        <v/>
      </c>
      <c r="M140" s="26">
        <f>IF($C140="","",IFERROR(INDEX(Produtos!$C$4:$C$103,MATCH($C140,Produtos!$A$4:$A$103,0)),""))</f>
        <v/>
      </c>
      <c r="N140" s="19">
        <f>IF($C140="","",IFERROR(INDEX(Produtos!$D$4:$D$103,MATCH($C140,Produtos!$A$4:$A$103,0)),""))</f>
        <v/>
      </c>
      <c r="O140" s="27">
        <f>IF($C140="","",IFERROR(INDEX(Produtos!$E$4:$E$103,MATCH($C140,Produtos!$A$4:$A$103,0)),""))</f>
        <v/>
      </c>
      <c r="P140" s="19">
        <f>IF($C140="","",IFERROR(INDEX(Produtos!$G$4:$G$103,MATCH($C140,Produtos!$A$4:$A$103,0)),""))</f>
        <v/>
      </c>
      <c r="Q140" s="19">
        <f>IF($C140="","",IFERROR(INDEX(Produtos!$H$4:$H$103,MATCH($C140,Produtos!$A$4:$A$103,0)),""))</f>
        <v/>
      </c>
      <c r="R140" s="19">
        <f>IF($C140="","",IFERROR(INDEX(Produtos!$I$4:$I$103,MATCH($C140,Produtos!$A$4:$A$103,0)),""))</f>
        <v/>
      </c>
      <c r="S140" s="28">
        <f>IF($C140="","",IFERROR(INDEX(Produtos!$J$4:$J$103,MATCH($C140,Produtos!$A$4:$A$103,0)),""))</f>
        <v/>
      </c>
      <c r="T140" s="27">
        <f>IF($AG140&lt;&gt;"Pronta","",IFERROR(IF($F140&lt;=INDEX(Regras!$C$4:$C$103,MATCH($D140,Regras!$A$4:$A$103,0)),INDEX(Regras!$E$4:$E$103,MATCH($D140,Regras!$A$4:$A$103,0)),IF($F140&gt;=INDEX(Regras!$D$4:$D$103,MATCH($D140,Regras!$A$4:$A$103,0)),INDEX(Regras!$F$4:$F$103,MATCH($D140,Regras!$A$4:$A$103,0)),0)),""))</f>
        <v/>
      </c>
      <c r="U140" s="27">
        <f>IF($AG140&lt;&gt;"Pronta","",IFERROR(IF($G140="",0,IF($G140&lt;=$E140*(1-INDEX(Regras!$G$4:$G$103,MATCH($D140,Regras!$A$4:$A$103,0))),INDEX(Regras!$H$4:$H$103,MATCH($D140,Regras!$A$4:$A$103,0)),IF($G140&gt;=$E140*(1+INDEX(Regras!$G$4:$G$103,MATCH($D140,Regras!$A$4:$A$103,0))),INDEX(Regras!$I$4:$I$103,MATCH($D140,Regras!$A$4:$A$103,0)),0))),""))</f>
        <v/>
      </c>
      <c r="V140" s="27">
        <f>IF($AG140&lt;&gt;"Pronta","",IFERROR(IF($H140/$S140&lt;=INDEX(Regras!$J$4:$J$103,MATCH($D140,Regras!$A$4:$A$103,0)),INDEX(Regras!$L$4:$L$103,MATCH($D140,Regras!$A$4:$A$103,0)),IF($H140/$S140&gt;=INDEX(Regras!$K$4:$K$103,MATCH($D140,Regras!$A$4:$A$103,0)),INDEX(Regras!$M$4:$M$103,MATCH($D140,Regras!$A$4:$A$103,0)),0)),""))</f>
        <v/>
      </c>
      <c r="W140" s="27">
        <f>IF($AG140&lt;&gt;"Pronta","",SUM($T140:$V140))</f>
        <v/>
      </c>
      <c r="X140" s="27">
        <f>IF($AG140&lt;&gt;"Pronta","",IFERROR(MAX(-INDEX(Regras!$N$4:$N$103,MATCH($D140,Regras!$A$4:$A$103,0)),MIN(INDEX(Regras!$N$4:$N$103,MATCH($D140,Regras!$A$4:$A$103,0)),$W140)),""))</f>
        <v/>
      </c>
      <c r="Y140" s="19">
        <f>IF($AG140&lt;&gt;"Pronta","",IFERROR(ROUND($E140*(1+$X140),2),""))</f>
        <v/>
      </c>
      <c r="Z140" s="29">
        <f>IF(OR($AG140&lt;&gt;"Pronta",$Q140="",$R140=""),"",IFERROR(ROUND(MIN($R140,MAX($Q140,$Y140)),2),""))</f>
        <v/>
      </c>
      <c r="AA140" s="27">
        <f>IF(OR($E140="",$Z140=""),"",IFERROR($Z140/$E140-1,""))</f>
        <v/>
      </c>
      <c r="AB140" s="26">
        <f>IF($Z140="","",IF($Y140&lt;$Q140,"Piso",IF($Y140&gt;$R140,"Teto","Nenhuma")))</f>
        <v/>
      </c>
      <c r="AC140" s="21">
        <f>IF($A140="","",IF($AG140&lt;&gt;"Pronta","Aguardando dados válidos",_xlfn.TEXTJOIN(" | ",TRUE,IF($T140&gt;0,"Demanda: aumento",IF($T140&lt;0,"Demanda: redução","")),IF($U140&gt;0,"Concorrência: aumento",IF($U140&lt;0,"Concorrência: redução","")),IF($V140&gt;0,"Estoque: aumento",IF($V140&lt;0,"Estoque: redução","")),IF(ABS($W140-$X140)&gt;0.0000001,"Limite da rodada aplicado",""),IF($AB140="Piso","Piso vigente aplicado",IF($AB140="Teto","Teto aplicado","")),IF(AND($T140=0,$U140=0,$V140=0),"Sem gatilho de reajuste",""))))</f>
        <v/>
      </c>
      <c r="AD140" s="21">
        <f>IF(OR($A140="",$AG140&lt;&gt;"Pronta"),"",_xlfn.TEXTJOIN(" | ",TRUE,IF($E140&lt;$Q140,"Preço atual abaixo do piso",""),IF($E140&gt;$R140,"Preço atual acima do teto",""),IF(AND($N140&gt;0,$E140&gt;0,1-$N140/$E140&lt;$O140),"Margem estimada do preço atual abaixo do mínimo",""),IF($G140="","Preço concorrente não informado",""),IF($AB140="Piso","Recomendação travada no piso",""),IF($AB140="Teto","Recomendação travada no teto","")))</f>
        <v/>
      </c>
      <c r="AE140" s="19">
        <f>IF($AG140&lt;&gt;"Pronta","",IF($I140="Aprovar recomendação",$Z140,IF($I140="Manter preço atual",$E140,IF($I140="Definir manualmente",$J140,""))))</f>
        <v/>
      </c>
      <c r="AF140" s="21">
        <f>IF($A140="","",IF($AG140&lt;&gt;"Pronta","Aguardando correção",IF(OR($I140="",$I140="Pendente"),"Decisão pendente",IF(AND($I140="Definir manualmente",OR($J140="",$J140&lt;=0)),"Informe o preço manual",IF(OR($AE140&lt;$Q140,$AE140&gt;$R140),"Preço final fora do piso/teto","OK")))))</f>
        <v/>
      </c>
      <c r="AG140" s="26">
        <f>IF(COUNTA($A140:$K140)=0,"",IF(OR($A140="",$B140="",$C140="",$D140="",$E140="",$F140="",$H140=""),"Incompleta",IF(OR(COUNTIF($A$5:$A$204,$A140)&gt;1,NOT(ISNUMBER($B140)),COUNTIF(Produtos!$A$4:$A$103,$C140)&lt;&gt;1,IFERROR(INDEX(Produtos!$K$4:$K$103,MATCH($C140,Produtos!$A$4:$A$103,0))&lt;&gt;"Ativo",TRUE),IFERROR(INDEX(Produtos!$L$4:$L$103,MATCH($C140,Produtos!$A$4:$A$103,0))&lt;&gt;"OK",TRUE),COUNTIF(Regras!$A$4:$A$103,$D140)&lt;&gt;1,IFERROR(INDEX(Regras!$O$4:$O$103,MATCH($D140,Regras!$A$4:$A$103,0))&lt;&gt;"Sim",TRUE),IFERROR(INDEX(Regras!$P$4:$P$103,MATCH($D140,Regras!$A$4:$A$103,0))&lt;&gt;"OK",TRUE),NOT(ISNUMBER($E140)),$E140&lt;=0,NOT(ISNUMBER($F140)),$F140&lt;0,$F140&gt;5,NOT(ISNUMBER($H140)),$H140&lt;0,$H140&lt;&gt;INT($H140),AND($G140&lt;&gt;"",OR(NOT(ISNUMBER($G140)),$G140&lt;=0))),"Revisar","Pronta")))</f>
        <v/>
      </c>
    </row>
    <row r="141">
      <c r="A141" s="16" t="n"/>
      <c r="B141" s="24" t="n"/>
      <c r="C141" s="16" t="n"/>
      <c r="D141" s="16" t="n"/>
      <c r="E141" s="17" t="n"/>
      <c r="F141" s="18" t="n"/>
      <c r="G141" s="17" t="n"/>
      <c r="H141" s="20" t="n"/>
      <c r="I141" s="16" t="n"/>
      <c r="J141" s="17" t="n"/>
      <c r="K141" s="25" t="n"/>
      <c r="L141" s="26">
        <f>IF($C141="","",IFERROR(INDEX(Produtos!$B$4:$B$103,MATCH($C141,Produtos!$A$4:$A$103,0)),""))</f>
        <v/>
      </c>
      <c r="M141" s="26">
        <f>IF($C141="","",IFERROR(INDEX(Produtos!$C$4:$C$103,MATCH($C141,Produtos!$A$4:$A$103,0)),""))</f>
        <v/>
      </c>
      <c r="N141" s="19">
        <f>IF($C141="","",IFERROR(INDEX(Produtos!$D$4:$D$103,MATCH($C141,Produtos!$A$4:$A$103,0)),""))</f>
        <v/>
      </c>
      <c r="O141" s="27">
        <f>IF($C141="","",IFERROR(INDEX(Produtos!$E$4:$E$103,MATCH($C141,Produtos!$A$4:$A$103,0)),""))</f>
        <v/>
      </c>
      <c r="P141" s="19">
        <f>IF($C141="","",IFERROR(INDEX(Produtos!$G$4:$G$103,MATCH($C141,Produtos!$A$4:$A$103,0)),""))</f>
        <v/>
      </c>
      <c r="Q141" s="19">
        <f>IF($C141="","",IFERROR(INDEX(Produtos!$H$4:$H$103,MATCH($C141,Produtos!$A$4:$A$103,0)),""))</f>
        <v/>
      </c>
      <c r="R141" s="19">
        <f>IF($C141="","",IFERROR(INDEX(Produtos!$I$4:$I$103,MATCH($C141,Produtos!$A$4:$A$103,0)),""))</f>
        <v/>
      </c>
      <c r="S141" s="28">
        <f>IF($C141="","",IFERROR(INDEX(Produtos!$J$4:$J$103,MATCH($C141,Produtos!$A$4:$A$103,0)),""))</f>
        <v/>
      </c>
      <c r="T141" s="27">
        <f>IF($AG141&lt;&gt;"Pronta","",IFERROR(IF($F141&lt;=INDEX(Regras!$C$4:$C$103,MATCH($D141,Regras!$A$4:$A$103,0)),INDEX(Regras!$E$4:$E$103,MATCH($D141,Regras!$A$4:$A$103,0)),IF($F141&gt;=INDEX(Regras!$D$4:$D$103,MATCH($D141,Regras!$A$4:$A$103,0)),INDEX(Regras!$F$4:$F$103,MATCH($D141,Regras!$A$4:$A$103,0)),0)),""))</f>
        <v/>
      </c>
      <c r="U141" s="27">
        <f>IF($AG141&lt;&gt;"Pronta","",IFERROR(IF($G141="",0,IF($G141&lt;=$E141*(1-INDEX(Regras!$G$4:$G$103,MATCH($D141,Regras!$A$4:$A$103,0))),INDEX(Regras!$H$4:$H$103,MATCH($D141,Regras!$A$4:$A$103,0)),IF($G141&gt;=$E141*(1+INDEX(Regras!$G$4:$G$103,MATCH($D141,Regras!$A$4:$A$103,0))),INDEX(Regras!$I$4:$I$103,MATCH($D141,Regras!$A$4:$A$103,0)),0))),""))</f>
        <v/>
      </c>
      <c r="V141" s="27">
        <f>IF($AG141&lt;&gt;"Pronta","",IFERROR(IF($H141/$S141&lt;=INDEX(Regras!$J$4:$J$103,MATCH($D141,Regras!$A$4:$A$103,0)),INDEX(Regras!$L$4:$L$103,MATCH($D141,Regras!$A$4:$A$103,0)),IF($H141/$S141&gt;=INDEX(Regras!$K$4:$K$103,MATCH($D141,Regras!$A$4:$A$103,0)),INDEX(Regras!$M$4:$M$103,MATCH($D141,Regras!$A$4:$A$103,0)),0)),""))</f>
        <v/>
      </c>
      <c r="W141" s="27">
        <f>IF($AG141&lt;&gt;"Pronta","",SUM($T141:$V141))</f>
        <v/>
      </c>
      <c r="X141" s="27">
        <f>IF($AG141&lt;&gt;"Pronta","",IFERROR(MAX(-INDEX(Regras!$N$4:$N$103,MATCH($D141,Regras!$A$4:$A$103,0)),MIN(INDEX(Regras!$N$4:$N$103,MATCH($D141,Regras!$A$4:$A$103,0)),$W141)),""))</f>
        <v/>
      </c>
      <c r="Y141" s="19">
        <f>IF($AG141&lt;&gt;"Pronta","",IFERROR(ROUND($E141*(1+$X141),2),""))</f>
        <v/>
      </c>
      <c r="Z141" s="29">
        <f>IF(OR($AG141&lt;&gt;"Pronta",$Q141="",$R141=""),"",IFERROR(ROUND(MIN($R141,MAX($Q141,$Y141)),2),""))</f>
        <v/>
      </c>
      <c r="AA141" s="27">
        <f>IF(OR($E141="",$Z141=""),"",IFERROR($Z141/$E141-1,""))</f>
        <v/>
      </c>
      <c r="AB141" s="26">
        <f>IF($Z141="","",IF($Y141&lt;$Q141,"Piso",IF($Y141&gt;$R141,"Teto","Nenhuma")))</f>
        <v/>
      </c>
      <c r="AC141" s="21">
        <f>IF($A141="","",IF($AG141&lt;&gt;"Pronta","Aguardando dados válidos",_xlfn.TEXTJOIN(" | ",TRUE,IF($T141&gt;0,"Demanda: aumento",IF($T141&lt;0,"Demanda: redução","")),IF($U141&gt;0,"Concorrência: aumento",IF($U141&lt;0,"Concorrência: redução","")),IF($V141&gt;0,"Estoque: aumento",IF($V141&lt;0,"Estoque: redução","")),IF(ABS($W141-$X141)&gt;0.0000001,"Limite da rodada aplicado",""),IF($AB141="Piso","Piso vigente aplicado",IF($AB141="Teto","Teto aplicado","")),IF(AND($T141=0,$U141=0,$V141=0),"Sem gatilho de reajuste",""))))</f>
        <v/>
      </c>
      <c r="AD141" s="21">
        <f>IF(OR($A141="",$AG141&lt;&gt;"Pronta"),"",_xlfn.TEXTJOIN(" | ",TRUE,IF($E141&lt;$Q141,"Preço atual abaixo do piso",""),IF($E141&gt;$R141,"Preço atual acima do teto",""),IF(AND($N141&gt;0,$E141&gt;0,1-$N141/$E141&lt;$O141),"Margem estimada do preço atual abaixo do mínimo",""),IF($G141="","Preço concorrente não informado",""),IF($AB141="Piso","Recomendação travada no piso",""),IF($AB141="Teto","Recomendação travada no teto","")))</f>
        <v/>
      </c>
      <c r="AE141" s="19">
        <f>IF($AG141&lt;&gt;"Pronta","",IF($I141="Aprovar recomendação",$Z141,IF($I141="Manter preço atual",$E141,IF($I141="Definir manualmente",$J141,""))))</f>
        <v/>
      </c>
      <c r="AF141" s="21">
        <f>IF($A141="","",IF($AG141&lt;&gt;"Pronta","Aguardando correção",IF(OR($I141="",$I141="Pendente"),"Decisão pendente",IF(AND($I141="Definir manualmente",OR($J141="",$J141&lt;=0)),"Informe o preço manual",IF(OR($AE141&lt;$Q141,$AE141&gt;$R141),"Preço final fora do piso/teto","OK")))))</f>
        <v/>
      </c>
      <c r="AG141" s="26">
        <f>IF(COUNTA($A141:$K141)=0,"",IF(OR($A141="",$B141="",$C141="",$D141="",$E141="",$F141="",$H141=""),"Incompleta",IF(OR(COUNTIF($A$5:$A$204,$A141)&gt;1,NOT(ISNUMBER($B141)),COUNTIF(Produtos!$A$4:$A$103,$C141)&lt;&gt;1,IFERROR(INDEX(Produtos!$K$4:$K$103,MATCH($C141,Produtos!$A$4:$A$103,0))&lt;&gt;"Ativo",TRUE),IFERROR(INDEX(Produtos!$L$4:$L$103,MATCH($C141,Produtos!$A$4:$A$103,0))&lt;&gt;"OK",TRUE),COUNTIF(Regras!$A$4:$A$103,$D141)&lt;&gt;1,IFERROR(INDEX(Regras!$O$4:$O$103,MATCH($D141,Regras!$A$4:$A$103,0))&lt;&gt;"Sim",TRUE),IFERROR(INDEX(Regras!$P$4:$P$103,MATCH($D141,Regras!$A$4:$A$103,0))&lt;&gt;"OK",TRUE),NOT(ISNUMBER($E141)),$E141&lt;=0,NOT(ISNUMBER($F141)),$F141&lt;0,$F141&gt;5,NOT(ISNUMBER($H141)),$H141&lt;0,$H141&lt;&gt;INT($H141),AND($G141&lt;&gt;"",OR(NOT(ISNUMBER($G141)),$G141&lt;=0))),"Revisar","Pronta")))</f>
        <v/>
      </c>
    </row>
    <row r="142">
      <c r="A142" s="16" t="n"/>
      <c r="B142" s="24" t="n"/>
      <c r="C142" s="16" t="n"/>
      <c r="D142" s="16" t="n"/>
      <c r="E142" s="17" t="n"/>
      <c r="F142" s="18" t="n"/>
      <c r="G142" s="17" t="n"/>
      <c r="H142" s="20" t="n"/>
      <c r="I142" s="16" t="n"/>
      <c r="J142" s="17" t="n"/>
      <c r="K142" s="25" t="n"/>
      <c r="L142" s="26">
        <f>IF($C142="","",IFERROR(INDEX(Produtos!$B$4:$B$103,MATCH($C142,Produtos!$A$4:$A$103,0)),""))</f>
        <v/>
      </c>
      <c r="M142" s="26">
        <f>IF($C142="","",IFERROR(INDEX(Produtos!$C$4:$C$103,MATCH($C142,Produtos!$A$4:$A$103,0)),""))</f>
        <v/>
      </c>
      <c r="N142" s="19">
        <f>IF($C142="","",IFERROR(INDEX(Produtos!$D$4:$D$103,MATCH($C142,Produtos!$A$4:$A$103,0)),""))</f>
        <v/>
      </c>
      <c r="O142" s="27">
        <f>IF($C142="","",IFERROR(INDEX(Produtos!$E$4:$E$103,MATCH($C142,Produtos!$A$4:$A$103,0)),""))</f>
        <v/>
      </c>
      <c r="P142" s="19">
        <f>IF($C142="","",IFERROR(INDEX(Produtos!$G$4:$G$103,MATCH($C142,Produtos!$A$4:$A$103,0)),""))</f>
        <v/>
      </c>
      <c r="Q142" s="19">
        <f>IF($C142="","",IFERROR(INDEX(Produtos!$H$4:$H$103,MATCH($C142,Produtos!$A$4:$A$103,0)),""))</f>
        <v/>
      </c>
      <c r="R142" s="19">
        <f>IF($C142="","",IFERROR(INDEX(Produtos!$I$4:$I$103,MATCH($C142,Produtos!$A$4:$A$103,0)),""))</f>
        <v/>
      </c>
      <c r="S142" s="28">
        <f>IF($C142="","",IFERROR(INDEX(Produtos!$J$4:$J$103,MATCH($C142,Produtos!$A$4:$A$103,0)),""))</f>
        <v/>
      </c>
      <c r="T142" s="27">
        <f>IF($AG142&lt;&gt;"Pronta","",IFERROR(IF($F142&lt;=INDEX(Regras!$C$4:$C$103,MATCH($D142,Regras!$A$4:$A$103,0)),INDEX(Regras!$E$4:$E$103,MATCH($D142,Regras!$A$4:$A$103,0)),IF($F142&gt;=INDEX(Regras!$D$4:$D$103,MATCH($D142,Regras!$A$4:$A$103,0)),INDEX(Regras!$F$4:$F$103,MATCH($D142,Regras!$A$4:$A$103,0)),0)),""))</f>
        <v/>
      </c>
      <c r="U142" s="27">
        <f>IF($AG142&lt;&gt;"Pronta","",IFERROR(IF($G142="",0,IF($G142&lt;=$E142*(1-INDEX(Regras!$G$4:$G$103,MATCH($D142,Regras!$A$4:$A$103,0))),INDEX(Regras!$H$4:$H$103,MATCH($D142,Regras!$A$4:$A$103,0)),IF($G142&gt;=$E142*(1+INDEX(Regras!$G$4:$G$103,MATCH($D142,Regras!$A$4:$A$103,0))),INDEX(Regras!$I$4:$I$103,MATCH($D142,Regras!$A$4:$A$103,0)),0))),""))</f>
        <v/>
      </c>
      <c r="V142" s="27">
        <f>IF($AG142&lt;&gt;"Pronta","",IFERROR(IF($H142/$S142&lt;=INDEX(Regras!$J$4:$J$103,MATCH($D142,Regras!$A$4:$A$103,0)),INDEX(Regras!$L$4:$L$103,MATCH($D142,Regras!$A$4:$A$103,0)),IF($H142/$S142&gt;=INDEX(Regras!$K$4:$K$103,MATCH($D142,Regras!$A$4:$A$103,0)),INDEX(Regras!$M$4:$M$103,MATCH($D142,Regras!$A$4:$A$103,0)),0)),""))</f>
        <v/>
      </c>
      <c r="W142" s="27">
        <f>IF($AG142&lt;&gt;"Pronta","",SUM($T142:$V142))</f>
        <v/>
      </c>
      <c r="X142" s="27">
        <f>IF($AG142&lt;&gt;"Pronta","",IFERROR(MAX(-INDEX(Regras!$N$4:$N$103,MATCH($D142,Regras!$A$4:$A$103,0)),MIN(INDEX(Regras!$N$4:$N$103,MATCH($D142,Regras!$A$4:$A$103,0)),$W142)),""))</f>
        <v/>
      </c>
      <c r="Y142" s="19">
        <f>IF($AG142&lt;&gt;"Pronta","",IFERROR(ROUND($E142*(1+$X142),2),""))</f>
        <v/>
      </c>
      <c r="Z142" s="29">
        <f>IF(OR($AG142&lt;&gt;"Pronta",$Q142="",$R142=""),"",IFERROR(ROUND(MIN($R142,MAX($Q142,$Y142)),2),""))</f>
        <v/>
      </c>
      <c r="AA142" s="27">
        <f>IF(OR($E142="",$Z142=""),"",IFERROR($Z142/$E142-1,""))</f>
        <v/>
      </c>
      <c r="AB142" s="26">
        <f>IF($Z142="","",IF($Y142&lt;$Q142,"Piso",IF($Y142&gt;$R142,"Teto","Nenhuma")))</f>
        <v/>
      </c>
      <c r="AC142" s="21">
        <f>IF($A142="","",IF($AG142&lt;&gt;"Pronta","Aguardando dados válidos",_xlfn.TEXTJOIN(" | ",TRUE,IF($T142&gt;0,"Demanda: aumento",IF($T142&lt;0,"Demanda: redução","")),IF($U142&gt;0,"Concorrência: aumento",IF($U142&lt;0,"Concorrência: redução","")),IF($V142&gt;0,"Estoque: aumento",IF($V142&lt;0,"Estoque: redução","")),IF(ABS($W142-$X142)&gt;0.0000001,"Limite da rodada aplicado",""),IF($AB142="Piso","Piso vigente aplicado",IF($AB142="Teto","Teto aplicado","")),IF(AND($T142=0,$U142=0,$V142=0),"Sem gatilho de reajuste",""))))</f>
        <v/>
      </c>
      <c r="AD142" s="21">
        <f>IF(OR($A142="",$AG142&lt;&gt;"Pronta"),"",_xlfn.TEXTJOIN(" | ",TRUE,IF($E142&lt;$Q142,"Preço atual abaixo do piso",""),IF($E142&gt;$R142,"Preço atual acima do teto",""),IF(AND($N142&gt;0,$E142&gt;0,1-$N142/$E142&lt;$O142),"Margem estimada do preço atual abaixo do mínimo",""),IF($G142="","Preço concorrente não informado",""),IF($AB142="Piso","Recomendação travada no piso",""),IF($AB142="Teto","Recomendação travada no teto","")))</f>
        <v/>
      </c>
      <c r="AE142" s="19">
        <f>IF($AG142&lt;&gt;"Pronta","",IF($I142="Aprovar recomendação",$Z142,IF($I142="Manter preço atual",$E142,IF($I142="Definir manualmente",$J142,""))))</f>
        <v/>
      </c>
      <c r="AF142" s="21">
        <f>IF($A142="","",IF($AG142&lt;&gt;"Pronta","Aguardando correção",IF(OR($I142="",$I142="Pendente"),"Decisão pendente",IF(AND($I142="Definir manualmente",OR($J142="",$J142&lt;=0)),"Informe o preço manual",IF(OR($AE142&lt;$Q142,$AE142&gt;$R142),"Preço final fora do piso/teto","OK")))))</f>
        <v/>
      </c>
      <c r="AG142" s="26">
        <f>IF(COUNTA($A142:$K142)=0,"",IF(OR($A142="",$B142="",$C142="",$D142="",$E142="",$F142="",$H142=""),"Incompleta",IF(OR(COUNTIF($A$5:$A$204,$A142)&gt;1,NOT(ISNUMBER($B142)),COUNTIF(Produtos!$A$4:$A$103,$C142)&lt;&gt;1,IFERROR(INDEX(Produtos!$K$4:$K$103,MATCH($C142,Produtos!$A$4:$A$103,0))&lt;&gt;"Ativo",TRUE),IFERROR(INDEX(Produtos!$L$4:$L$103,MATCH($C142,Produtos!$A$4:$A$103,0))&lt;&gt;"OK",TRUE),COUNTIF(Regras!$A$4:$A$103,$D142)&lt;&gt;1,IFERROR(INDEX(Regras!$O$4:$O$103,MATCH($D142,Regras!$A$4:$A$103,0))&lt;&gt;"Sim",TRUE),IFERROR(INDEX(Regras!$P$4:$P$103,MATCH($D142,Regras!$A$4:$A$103,0))&lt;&gt;"OK",TRUE),NOT(ISNUMBER($E142)),$E142&lt;=0,NOT(ISNUMBER($F142)),$F142&lt;0,$F142&gt;5,NOT(ISNUMBER($H142)),$H142&lt;0,$H142&lt;&gt;INT($H142),AND($G142&lt;&gt;"",OR(NOT(ISNUMBER($G142)),$G142&lt;=0))),"Revisar","Pronta")))</f>
        <v/>
      </c>
    </row>
    <row r="143">
      <c r="A143" s="16" t="n"/>
      <c r="B143" s="24" t="n"/>
      <c r="C143" s="16" t="n"/>
      <c r="D143" s="16" t="n"/>
      <c r="E143" s="17" t="n"/>
      <c r="F143" s="18" t="n"/>
      <c r="G143" s="17" t="n"/>
      <c r="H143" s="20" t="n"/>
      <c r="I143" s="16" t="n"/>
      <c r="J143" s="17" t="n"/>
      <c r="K143" s="25" t="n"/>
      <c r="L143" s="26">
        <f>IF($C143="","",IFERROR(INDEX(Produtos!$B$4:$B$103,MATCH($C143,Produtos!$A$4:$A$103,0)),""))</f>
        <v/>
      </c>
      <c r="M143" s="26">
        <f>IF($C143="","",IFERROR(INDEX(Produtos!$C$4:$C$103,MATCH($C143,Produtos!$A$4:$A$103,0)),""))</f>
        <v/>
      </c>
      <c r="N143" s="19">
        <f>IF($C143="","",IFERROR(INDEX(Produtos!$D$4:$D$103,MATCH($C143,Produtos!$A$4:$A$103,0)),""))</f>
        <v/>
      </c>
      <c r="O143" s="27">
        <f>IF($C143="","",IFERROR(INDEX(Produtos!$E$4:$E$103,MATCH($C143,Produtos!$A$4:$A$103,0)),""))</f>
        <v/>
      </c>
      <c r="P143" s="19">
        <f>IF($C143="","",IFERROR(INDEX(Produtos!$G$4:$G$103,MATCH($C143,Produtos!$A$4:$A$103,0)),""))</f>
        <v/>
      </c>
      <c r="Q143" s="19">
        <f>IF($C143="","",IFERROR(INDEX(Produtos!$H$4:$H$103,MATCH($C143,Produtos!$A$4:$A$103,0)),""))</f>
        <v/>
      </c>
      <c r="R143" s="19">
        <f>IF($C143="","",IFERROR(INDEX(Produtos!$I$4:$I$103,MATCH($C143,Produtos!$A$4:$A$103,0)),""))</f>
        <v/>
      </c>
      <c r="S143" s="28">
        <f>IF($C143="","",IFERROR(INDEX(Produtos!$J$4:$J$103,MATCH($C143,Produtos!$A$4:$A$103,0)),""))</f>
        <v/>
      </c>
      <c r="T143" s="27">
        <f>IF($AG143&lt;&gt;"Pronta","",IFERROR(IF($F143&lt;=INDEX(Regras!$C$4:$C$103,MATCH($D143,Regras!$A$4:$A$103,0)),INDEX(Regras!$E$4:$E$103,MATCH($D143,Regras!$A$4:$A$103,0)),IF($F143&gt;=INDEX(Regras!$D$4:$D$103,MATCH($D143,Regras!$A$4:$A$103,0)),INDEX(Regras!$F$4:$F$103,MATCH($D143,Regras!$A$4:$A$103,0)),0)),""))</f>
        <v/>
      </c>
      <c r="U143" s="27">
        <f>IF($AG143&lt;&gt;"Pronta","",IFERROR(IF($G143="",0,IF($G143&lt;=$E143*(1-INDEX(Regras!$G$4:$G$103,MATCH($D143,Regras!$A$4:$A$103,0))),INDEX(Regras!$H$4:$H$103,MATCH($D143,Regras!$A$4:$A$103,0)),IF($G143&gt;=$E143*(1+INDEX(Regras!$G$4:$G$103,MATCH($D143,Regras!$A$4:$A$103,0))),INDEX(Regras!$I$4:$I$103,MATCH($D143,Regras!$A$4:$A$103,0)),0))),""))</f>
        <v/>
      </c>
      <c r="V143" s="27">
        <f>IF($AG143&lt;&gt;"Pronta","",IFERROR(IF($H143/$S143&lt;=INDEX(Regras!$J$4:$J$103,MATCH($D143,Regras!$A$4:$A$103,0)),INDEX(Regras!$L$4:$L$103,MATCH($D143,Regras!$A$4:$A$103,0)),IF($H143/$S143&gt;=INDEX(Regras!$K$4:$K$103,MATCH($D143,Regras!$A$4:$A$103,0)),INDEX(Regras!$M$4:$M$103,MATCH($D143,Regras!$A$4:$A$103,0)),0)),""))</f>
        <v/>
      </c>
      <c r="W143" s="27">
        <f>IF($AG143&lt;&gt;"Pronta","",SUM($T143:$V143))</f>
        <v/>
      </c>
      <c r="X143" s="27">
        <f>IF($AG143&lt;&gt;"Pronta","",IFERROR(MAX(-INDEX(Regras!$N$4:$N$103,MATCH($D143,Regras!$A$4:$A$103,0)),MIN(INDEX(Regras!$N$4:$N$103,MATCH($D143,Regras!$A$4:$A$103,0)),$W143)),""))</f>
        <v/>
      </c>
      <c r="Y143" s="19">
        <f>IF($AG143&lt;&gt;"Pronta","",IFERROR(ROUND($E143*(1+$X143),2),""))</f>
        <v/>
      </c>
      <c r="Z143" s="29">
        <f>IF(OR($AG143&lt;&gt;"Pronta",$Q143="",$R143=""),"",IFERROR(ROUND(MIN($R143,MAX($Q143,$Y143)),2),""))</f>
        <v/>
      </c>
      <c r="AA143" s="27">
        <f>IF(OR($E143="",$Z143=""),"",IFERROR($Z143/$E143-1,""))</f>
        <v/>
      </c>
      <c r="AB143" s="26">
        <f>IF($Z143="","",IF($Y143&lt;$Q143,"Piso",IF($Y143&gt;$R143,"Teto","Nenhuma")))</f>
        <v/>
      </c>
      <c r="AC143" s="21">
        <f>IF($A143="","",IF($AG143&lt;&gt;"Pronta","Aguardando dados válidos",_xlfn.TEXTJOIN(" | ",TRUE,IF($T143&gt;0,"Demanda: aumento",IF($T143&lt;0,"Demanda: redução","")),IF($U143&gt;0,"Concorrência: aumento",IF($U143&lt;0,"Concorrência: redução","")),IF($V143&gt;0,"Estoque: aumento",IF($V143&lt;0,"Estoque: redução","")),IF(ABS($W143-$X143)&gt;0.0000001,"Limite da rodada aplicado",""),IF($AB143="Piso","Piso vigente aplicado",IF($AB143="Teto","Teto aplicado","")),IF(AND($T143=0,$U143=0,$V143=0),"Sem gatilho de reajuste",""))))</f>
        <v/>
      </c>
      <c r="AD143" s="21">
        <f>IF(OR($A143="",$AG143&lt;&gt;"Pronta"),"",_xlfn.TEXTJOIN(" | ",TRUE,IF($E143&lt;$Q143,"Preço atual abaixo do piso",""),IF($E143&gt;$R143,"Preço atual acima do teto",""),IF(AND($N143&gt;0,$E143&gt;0,1-$N143/$E143&lt;$O143),"Margem estimada do preço atual abaixo do mínimo",""),IF($G143="","Preço concorrente não informado",""),IF($AB143="Piso","Recomendação travada no piso",""),IF($AB143="Teto","Recomendação travada no teto","")))</f>
        <v/>
      </c>
      <c r="AE143" s="19">
        <f>IF($AG143&lt;&gt;"Pronta","",IF($I143="Aprovar recomendação",$Z143,IF($I143="Manter preço atual",$E143,IF($I143="Definir manualmente",$J143,""))))</f>
        <v/>
      </c>
      <c r="AF143" s="21">
        <f>IF($A143="","",IF($AG143&lt;&gt;"Pronta","Aguardando correção",IF(OR($I143="",$I143="Pendente"),"Decisão pendente",IF(AND($I143="Definir manualmente",OR($J143="",$J143&lt;=0)),"Informe o preço manual",IF(OR($AE143&lt;$Q143,$AE143&gt;$R143),"Preço final fora do piso/teto","OK")))))</f>
        <v/>
      </c>
      <c r="AG143" s="26">
        <f>IF(COUNTA($A143:$K143)=0,"",IF(OR($A143="",$B143="",$C143="",$D143="",$E143="",$F143="",$H143=""),"Incompleta",IF(OR(COUNTIF($A$5:$A$204,$A143)&gt;1,NOT(ISNUMBER($B143)),COUNTIF(Produtos!$A$4:$A$103,$C143)&lt;&gt;1,IFERROR(INDEX(Produtos!$K$4:$K$103,MATCH($C143,Produtos!$A$4:$A$103,0))&lt;&gt;"Ativo",TRUE),IFERROR(INDEX(Produtos!$L$4:$L$103,MATCH($C143,Produtos!$A$4:$A$103,0))&lt;&gt;"OK",TRUE),COUNTIF(Regras!$A$4:$A$103,$D143)&lt;&gt;1,IFERROR(INDEX(Regras!$O$4:$O$103,MATCH($D143,Regras!$A$4:$A$103,0))&lt;&gt;"Sim",TRUE),IFERROR(INDEX(Regras!$P$4:$P$103,MATCH($D143,Regras!$A$4:$A$103,0))&lt;&gt;"OK",TRUE),NOT(ISNUMBER($E143)),$E143&lt;=0,NOT(ISNUMBER($F143)),$F143&lt;0,$F143&gt;5,NOT(ISNUMBER($H143)),$H143&lt;0,$H143&lt;&gt;INT($H143),AND($G143&lt;&gt;"",OR(NOT(ISNUMBER($G143)),$G143&lt;=0))),"Revisar","Pronta")))</f>
        <v/>
      </c>
    </row>
    <row r="144">
      <c r="A144" s="16" t="n"/>
      <c r="B144" s="24" t="n"/>
      <c r="C144" s="16" t="n"/>
      <c r="D144" s="16" t="n"/>
      <c r="E144" s="17" t="n"/>
      <c r="F144" s="18" t="n"/>
      <c r="G144" s="17" t="n"/>
      <c r="H144" s="20" t="n"/>
      <c r="I144" s="16" t="n"/>
      <c r="J144" s="17" t="n"/>
      <c r="K144" s="25" t="n"/>
      <c r="L144" s="26">
        <f>IF($C144="","",IFERROR(INDEX(Produtos!$B$4:$B$103,MATCH($C144,Produtos!$A$4:$A$103,0)),""))</f>
        <v/>
      </c>
      <c r="M144" s="26">
        <f>IF($C144="","",IFERROR(INDEX(Produtos!$C$4:$C$103,MATCH($C144,Produtos!$A$4:$A$103,0)),""))</f>
        <v/>
      </c>
      <c r="N144" s="19">
        <f>IF($C144="","",IFERROR(INDEX(Produtos!$D$4:$D$103,MATCH($C144,Produtos!$A$4:$A$103,0)),""))</f>
        <v/>
      </c>
      <c r="O144" s="27">
        <f>IF($C144="","",IFERROR(INDEX(Produtos!$E$4:$E$103,MATCH($C144,Produtos!$A$4:$A$103,0)),""))</f>
        <v/>
      </c>
      <c r="P144" s="19">
        <f>IF($C144="","",IFERROR(INDEX(Produtos!$G$4:$G$103,MATCH($C144,Produtos!$A$4:$A$103,0)),""))</f>
        <v/>
      </c>
      <c r="Q144" s="19">
        <f>IF($C144="","",IFERROR(INDEX(Produtos!$H$4:$H$103,MATCH($C144,Produtos!$A$4:$A$103,0)),""))</f>
        <v/>
      </c>
      <c r="R144" s="19">
        <f>IF($C144="","",IFERROR(INDEX(Produtos!$I$4:$I$103,MATCH($C144,Produtos!$A$4:$A$103,0)),""))</f>
        <v/>
      </c>
      <c r="S144" s="28">
        <f>IF($C144="","",IFERROR(INDEX(Produtos!$J$4:$J$103,MATCH($C144,Produtos!$A$4:$A$103,0)),""))</f>
        <v/>
      </c>
      <c r="T144" s="27">
        <f>IF($AG144&lt;&gt;"Pronta","",IFERROR(IF($F144&lt;=INDEX(Regras!$C$4:$C$103,MATCH($D144,Regras!$A$4:$A$103,0)),INDEX(Regras!$E$4:$E$103,MATCH($D144,Regras!$A$4:$A$103,0)),IF($F144&gt;=INDEX(Regras!$D$4:$D$103,MATCH($D144,Regras!$A$4:$A$103,0)),INDEX(Regras!$F$4:$F$103,MATCH($D144,Regras!$A$4:$A$103,0)),0)),""))</f>
        <v/>
      </c>
      <c r="U144" s="27">
        <f>IF($AG144&lt;&gt;"Pronta","",IFERROR(IF($G144="",0,IF($G144&lt;=$E144*(1-INDEX(Regras!$G$4:$G$103,MATCH($D144,Regras!$A$4:$A$103,0))),INDEX(Regras!$H$4:$H$103,MATCH($D144,Regras!$A$4:$A$103,0)),IF($G144&gt;=$E144*(1+INDEX(Regras!$G$4:$G$103,MATCH($D144,Regras!$A$4:$A$103,0))),INDEX(Regras!$I$4:$I$103,MATCH($D144,Regras!$A$4:$A$103,0)),0))),""))</f>
        <v/>
      </c>
      <c r="V144" s="27">
        <f>IF($AG144&lt;&gt;"Pronta","",IFERROR(IF($H144/$S144&lt;=INDEX(Regras!$J$4:$J$103,MATCH($D144,Regras!$A$4:$A$103,0)),INDEX(Regras!$L$4:$L$103,MATCH($D144,Regras!$A$4:$A$103,0)),IF($H144/$S144&gt;=INDEX(Regras!$K$4:$K$103,MATCH($D144,Regras!$A$4:$A$103,0)),INDEX(Regras!$M$4:$M$103,MATCH($D144,Regras!$A$4:$A$103,0)),0)),""))</f>
        <v/>
      </c>
      <c r="W144" s="27">
        <f>IF($AG144&lt;&gt;"Pronta","",SUM($T144:$V144))</f>
        <v/>
      </c>
      <c r="X144" s="27">
        <f>IF($AG144&lt;&gt;"Pronta","",IFERROR(MAX(-INDEX(Regras!$N$4:$N$103,MATCH($D144,Regras!$A$4:$A$103,0)),MIN(INDEX(Regras!$N$4:$N$103,MATCH($D144,Regras!$A$4:$A$103,0)),$W144)),""))</f>
        <v/>
      </c>
      <c r="Y144" s="19">
        <f>IF($AG144&lt;&gt;"Pronta","",IFERROR(ROUND($E144*(1+$X144),2),""))</f>
        <v/>
      </c>
      <c r="Z144" s="29">
        <f>IF(OR($AG144&lt;&gt;"Pronta",$Q144="",$R144=""),"",IFERROR(ROUND(MIN($R144,MAX($Q144,$Y144)),2),""))</f>
        <v/>
      </c>
      <c r="AA144" s="27">
        <f>IF(OR($E144="",$Z144=""),"",IFERROR($Z144/$E144-1,""))</f>
        <v/>
      </c>
      <c r="AB144" s="26">
        <f>IF($Z144="","",IF($Y144&lt;$Q144,"Piso",IF($Y144&gt;$R144,"Teto","Nenhuma")))</f>
        <v/>
      </c>
      <c r="AC144" s="21">
        <f>IF($A144="","",IF($AG144&lt;&gt;"Pronta","Aguardando dados válidos",_xlfn.TEXTJOIN(" | ",TRUE,IF($T144&gt;0,"Demanda: aumento",IF($T144&lt;0,"Demanda: redução","")),IF($U144&gt;0,"Concorrência: aumento",IF($U144&lt;0,"Concorrência: redução","")),IF($V144&gt;0,"Estoque: aumento",IF($V144&lt;0,"Estoque: redução","")),IF(ABS($W144-$X144)&gt;0.0000001,"Limite da rodada aplicado",""),IF($AB144="Piso","Piso vigente aplicado",IF($AB144="Teto","Teto aplicado","")),IF(AND($T144=0,$U144=0,$V144=0),"Sem gatilho de reajuste",""))))</f>
        <v/>
      </c>
      <c r="AD144" s="21">
        <f>IF(OR($A144="",$AG144&lt;&gt;"Pronta"),"",_xlfn.TEXTJOIN(" | ",TRUE,IF($E144&lt;$Q144,"Preço atual abaixo do piso",""),IF($E144&gt;$R144,"Preço atual acima do teto",""),IF(AND($N144&gt;0,$E144&gt;0,1-$N144/$E144&lt;$O144),"Margem estimada do preço atual abaixo do mínimo",""),IF($G144="","Preço concorrente não informado",""),IF($AB144="Piso","Recomendação travada no piso",""),IF($AB144="Teto","Recomendação travada no teto","")))</f>
        <v/>
      </c>
      <c r="AE144" s="19">
        <f>IF($AG144&lt;&gt;"Pronta","",IF($I144="Aprovar recomendação",$Z144,IF($I144="Manter preço atual",$E144,IF($I144="Definir manualmente",$J144,""))))</f>
        <v/>
      </c>
      <c r="AF144" s="21">
        <f>IF($A144="","",IF($AG144&lt;&gt;"Pronta","Aguardando correção",IF(OR($I144="",$I144="Pendente"),"Decisão pendente",IF(AND($I144="Definir manualmente",OR($J144="",$J144&lt;=0)),"Informe o preço manual",IF(OR($AE144&lt;$Q144,$AE144&gt;$R144),"Preço final fora do piso/teto","OK")))))</f>
        <v/>
      </c>
      <c r="AG144" s="26">
        <f>IF(COUNTA($A144:$K144)=0,"",IF(OR($A144="",$B144="",$C144="",$D144="",$E144="",$F144="",$H144=""),"Incompleta",IF(OR(COUNTIF($A$5:$A$204,$A144)&gt;1,NOT(ISNUMBER($B144)),COUNTIF(Produtos!$A$4:$A$103,$C144)&lt;&gt;1,IFERROR(INDEX(Produtos!$K$4:$K$103,MATCH($C144,Produtos!$A$4:$A$103,0))&lt;&gt;"Ativo",TRUE),IFERROR(INDEX(Produtos!$L$4:$L$103,MATCH($C144,Produtos!$A$4:$A$103,0))&lt;&gt;"OK",TRUE),COUNTIF(Regras!$A$4:$A$103,$D144)&lt;&gt;1,IFERROR(INDEX(Regras!$O$4:$O$103,MATCH($D144,Regras!$A$4:$A$103,0))&lt;&gt;"Sim",TRUE),IFERROR(INDEX(Regras!$P$4:$P$103,MATCH($D144,Regras!$A$4:$A$103,0))&lt;&gt;"OK",TRUE),NOT(ISNUMBER($E144)),$E144&lt;=0,NOT(ISNUMBER($F144)),$F144&lt;0,$F144&gt;5,NOT(ISNUMBER($H144)),$H144&lt;0,$H144&lt;&gt;INT($H144),AND($G144&lt;&gt;"",OR(NOT(ISNUMBER($G144)),$G144&lt;=0))),"Revisar","Pronta")))</f>
        <v/>
      </c>
    </row>
    <row r="145">
      <c r="A145" s="16" t="n"/>
      <c r="B145" s="24" t="n"/>
      <c r="C145" s="16" t="n"/>
      <c r="D145" s="16" t="n"/>
      <c r="E145" s="17" t="n"/>
      <c r="F145" s="18" t="n"/>
      <c r="G145" s="17" t="n"/>
      <c r="H145" s="20" t="n"/>
      <c r="I145" s="16" t="n"/>
      <c r="J145" s="17" t="n"/>
      <c r="K145" s="25" t="n"/>
      <c r="L145" s="26">
        <f>IF($C145="","",IFERROR(INDEX(Produtos!$B$4:$B$103,MATCH($C145,Produtos!$A$4:$A$103,0)),""))</f>
        <v/>
      </c>
      <c r="M145" s="26">
        <f>IF($C145="","",IFERROR(INDEX(Produtos!$C$4:$C$103,MATCH($C145,Produtos!$A$4:$A$103,0)),""))</f>
        <v/>
      </c>
      <c r="N145" s="19">
        <f>IF($C145="","",IFERROR(INDEX(Produtos!$D$4:$D$103,MATCH($C145,Produtos!$A$4:$A$103,0)),""))</f>
        <v/>
      </c>
      <c r="O145" s="27">
        <f>IF($C145="","",IFERROR(INDEX(Produtos!$E$4:$E$103,MATCH($C145,Produtos!$A$4:$A$103,0)),""))</f>
        <v/>
      </c>
      <c r="P145" s="19">
        <f>IF($C145="","",IFERROR(INDEX(Produtos!$G$4:$G$103,MATCH($C145,Produtos!$A$4:$A$103,0)),""))</f>
        <v/>
      </c>
      <c r="Q145" s="19">
        <f>IF($C145="","",IFERROR(INDEX(Produtos!$H$4:$H$103,MATCH($C145,Produtos!$A$4:$A$103,0)),""))</f>
        <v/>
      </c>
      <c r="R145" s="19">
        <f>IF($C145="","",IFERROR(INDEX(Produtos!$I$4:$I$103,MATCH($C145,Produtos!$A$4:$A$103,0)),""))</f>
        <v/>
      </c>
      <c r="S145" s="28">
        <f>IF($C145="","",IFERROR(INDEX(Produtos!$J$4:$J$103,MATCH($C145,Produtos!$A$4:$A$103,0)),""))</f>
        <v/>
      </c>
      <c r="T145" s="27">
        <f>IF($AG145&lt;&gt;"Pronta","",IFERROR(IF($F145&lt;=INDEX(Regras!$C$4:$C$103,MATCH($D145,Regras!$A$4:$A$103,0)),INDEX(Regras!$E$4:$E$103,MATCH($D145,Regras!$A$4:$A$103,0)),IF($F145&gt;=INDEX(Regras!$D$4:$D$103,MATCH($D145,Regras!$A$4:$A$103,0)),INDEX(Regras!$F$4:$F$103,MATCH($D145,Regras!$A$4:$A$103,0)),0)),""))</f>
        <v/>
      </c>
      <c r="U145" s="27">
        <f>IF($AG145&lt;&gt;"Pronta","",IFERROR(IF($G145="",0,IF($G145&lt;=$E145*(1-INDEX(Regras!$G$4:$G$103,MATCH($D145,Regras!$A$4:$A$103,0))),INDEX(Regras!$H$4:$H$103,MATCH($D145,Regras!$A$4:$A$103,0)),IF($G145&gt;=$E145*(1+INDEX(Regras!$G$4:$G$103,MATCH($D145,Regras!$A$4:$A$103,0))),INDEX(Regras!$I$4:$I$103,MATCH($D145,Regras!$A$4:$A$103,0)),0))),""))</f>
        <v/>
      </c>
      <c r="V145" s="27">
        <f>IF($AG145&lt;&gt;"Pronta","",IFERROR(IF($H145/$S145&lt;=INDEX(Regras!$J$4:$J$103,MATCH($D145,Regras!$A$4:$A$103,0)),INDEX(Regras!$L$4:$L$103,MATCH($D145,Regras!$A$4:$A$103,0)),IF($H145/$S145&gt;=INDEX(Regras!$K$4:$K$103,MATCH($D145,Regras!$A$4:$A$103,0)),INDEX(Regras!$M$4:$M$103,MATCH($D145,Regras!$A$4:$A$103,0)),0)),""))</f>
        <v/>
      </c>
      <c r="W145" s="27">
        <f>IF($AG145&lt;&gt;"Pronta","",SUM($T145:$V145))</f>
        <v/>
      </c>
      <c r="X145" s="27">
        <f>IF($AG145&lt;&gt;"Pronta","",IFERROR(MAX(-INDEX(Regras!$N$4:$N$103,MATCH($D145,Regras!$A$4:$A$103,0)),MIN(INDEX(Regras!$N$4:$N$103,MATCH($D145,Regras!$A$4:$A$103,0)),$W145)),""))</f>
        <v/>
      </c>
      <c r="Y145" s="19">
        <f>IF($AG145&lt;&gt;"Pronta","",IFERROR(ROUND($E145*(1+$X145),2),""))</f>
        <v/>
      </c>
      <c r="Z145" s="29">
        <f>IF(OR($AG145&lt;&gt;"Pronta",$Q145="",$R145=""),"",IFERROR(ROUND(MIN($R145,MAX($Q145,$Y145)),2),""))</f>
        <v/>
      </c>
      <c r="AA145" s="27">
        <f>IF(OR($E145="",$Z145=""),"",IFERROR($Z145/$E145-1,""))</f>
        <v/>
      </c>
      <c r="AB145" s="26">
        <f>IF($Z145="","",IF($Y145&lt;$Q145,"Piso",IF($Y145&gt;$R145,"Teto","Nenhuma")))</f>
        <v/>
      </c>
      <c r="AC145" s="21">
        <f>IF($A145="","",IF($AG145&lt;&gt;"Pronta","Aguardando dados válidos",_xlfn.TEXTJOIN(" | ",TRUE,IF($T145&gt;0,"Demanda: aumento",IF($T145&lt;0,"Demanda: redução","")),IF($U145&gt;0,"Concorrência: aumento",IF($U145&lt;0,"Concorrência: redução","")),IF($V145&gt;0,"Estoque: aumento",IF($V145&lt;0,"Estoque: redução","")),IF(ABS($W145-$X145)&gt;0.0000001,"Limite da rodada aplicado",""),IF($AB145="Piso","Piso vigente aplicado",IF($AB145="Teto","Teto aplicado","")),IF(AND($T145=0,$U145=0,$V145=0),"Sem gatilho de reajuste",""))))</f>
        <v/>
      </c>
      <c r="AD145" s="21">
        <f>IF(OR($A145="",$AG145&lt;&gt;"Pronta"),"",_xlfn.TEXTJOIN(" | ",TRUE,IF($E145&lt;$Q145,"Preço atual abaixo do piso",""),IF($E145&gt;$R145,"Preço atual acima do teto",""),IF(AND($N145&gt;0,$E145&gt;0,1-$N145/$E145&lt;$O145),"Margem estimada do preço atual abaixo do mínimo",""),IF($G145="","Preço concorrente não informado",""),IF($AB145="Piso","Recomendação travada no piso",""),IF($AB145="Teto","Recomendação travada no teto","")))</f>
        <v/>
      </c>
      <c r="AE145" s="19">
        <f>IF($AG145&lt;&gt;"Pronta","",IF($I145="Aprovar recomendação",$Z145,IF($I145="Manter preço atual",$E145,IF($I145="Definir manualmente",$J145,""))))</f>
        <v/>
      </c>
      <c r="AF145" s="21">
        <f>IF($A145="","",IF($AG145&lt;&gt;"Pronta","Aguardando correção",IF(OR($I145="",$I145="Pendente"),"Decisão pendente",IF(AND($I145="Definir manualmente",OR($J145="",$J145&lt;=0)),"Informe o preço manual",IF(OR($AE145&lt;$Q145,$AE145&gt;$R145),"Preço final fora do piso/teto","OK")))))</f>
        <v/>
      </c>
      <c r="AG145" s="26">
        <f>IF(COUNTA($A145:$K145)=0,"",IF(OR($A145="",$B145="",$C145="",$D145="",$E145="",$F145="",$H145=""),"Incompleta",IF(OR(COUNTIF($A$5:$A$204,$A145)&gt;1,NOT(ISNUMBER($B145)),COUNTIF(Produtos!$A$4:$A$103,$C145)&lt;&gt;1,IFERROR(INDEX(Produtos!$K$4:$K$103,MATCH($C145,Produtos!$A$4:$A$103,0))&lt;&gt;"Ativo",TRUE),IFERROR(INDEX(Produtos!$L$4:$L$103,MATCH($C145,Produtos!$A$4:$A$103,0))&lt;&gt;"OK",TRUE),COUNTIF(Regras!$A$4:$A$103,$D145)&lt;&gt;1,IFERROR(INDEX(Regras!$O$4:$O$103,MATCH($D145,Regras!$A$4:$A$103,0))&lt;&gt;"Sim",TRUE),IFERROR(INDEX(Regras!$P$4:$P$103,MATCH($D145,Regras!$A$4:$A$103,0))&lt;&gt;"OK",TRUE),NOT(ISNUMBER($E145)),$E145&lt;=0,NOT(ISNUMBER($F145)),$F145&lt;0,$F145&gt;5,NOT(ISNUMBER($H145)),$H145&lt;0,$H145&lt;&gt;INT($H145),AND($G145&lt;&gt;"",OR(NOT(ISNUMBER($G145)),$G145&lt;=0))),"Revisar","Pronta")))</f>
        <v/>
      </c>
    </row>
    <row r="146">
      <c r="A146" s="16" t="n"/>
      <c r="B146" s="24" t="n"/>
      <c r="C146" s="16" t="n"/>
      <c r="D146" s="16" t="n"/>
      <c r="E146" s="17" t="n"/>
      <c r="F146" s="18" t="n"/>
      <c r="G146" s="17" t="n"/>
      <c r="H146" s="20" t="n"/>
      <c r="I146" s="16" t="n"/>
      <c r="J146" s="17" t="n"/>
      <c r="K146" s="25" t="n"/>
      <c r="L146" s="26">
        <f>IF($C146="","",IFERROR(INDEX(Produtos!$B$4:$B$103,MATCH($C146,Produtos!$A$4:$A$103,0)),""))</f>
        <v/>
      </c>
      <c r="M146" s="26">
        <f>IF($C146="","",IFERROR(INDEX(Produtos!$C$4:$C$103,MATCH($C146,Produtos!$A$4:$A$103,0)),""))</f>
        <v/>
      </c>
      <c r="N146" s="19">
        <f>IF($C146="","",IFERROR(INDEX(Produtos!$D$4:$D$103,MATCH($C146,Produtos!$A$4:$A$103,0)),""))</f>
        <v/>
      </c>
      <c r="O146" s="27">
        <f>IF($C146="","",IFERROR(INDEX(Produtos!$E$4:$E$103,MATCH($C146,Produtos!$A$4:$A$103,0)),""))</f>
        <v/>
      </c>
      <c r="P146" s="19">
        <f>IF($C146="","",IFERROR(INDEX(Produtos!$G$4:$G$103,MATCH($C146,Produtos!$A$4:$A$103,0)),""))</f>
        <v/>
      </c>
      <c r="Q146" s="19">
        <f>IF($C146="","",IFERROR(INDEX(Produtos!$H$4:$H$103,MATCH($C146,Produtos!$A$4:$A$103,0)),""))</f>
        <v/>
      </c>
      <c r="R146" s="19">
        <f>IF($C146="","",IFERROR(INDEX(Produtos!$I$4:$I$103,MATCH($C146,Produtos!$A$4:$A$103,0)),""))</f>
        <v/>
      </c>
      <c r="S146" s="28">
        <f>IF($C146="","",IFERROR(INDEX(Produtos!$J$4:$J$103,MATCH($C146,Produtos!$A$4:$A$103,0)),""))</f>
        <v/>
      </c>
      <c r="T146" s="27">
        <f>IF($AG146&lt;&gt;"Pronta","",IFERROR(IF($F146&lt;=INDEX(Regras!$C$4:$C$103,MATCH($D146,Regras!$A$4:$A$103,0)),INDEX(Regras!$E$4:$E$103,MATCH($D146,Regras!$A$4:$A$103,0)),IF($F146&gt;=INDEX(Regras!$D$4:$D$103,MATCH($D146,Regras!$A$4:$A$103,0)),INDEX(Regras!$F$4:$F$103,MATCH($D146,Regras!$A$4:$A$103,0)),0)),""))</f>
        <v/>
      </c>
      <c r="U146" s="27">
        <f>IF($AG146&lt;&gt;"Pronta","",IFERROR(IF($G146="",0,IF($G146&lt;=$E146*(1-INDEX(Regras!$G$4:$G$103,MATCH($D146,Regras!$A$4:$A$103,0))),INDEX(Regras!$H$4:$H$103,MATCH($D146,Regras!$A$4:$A$103,0)),IF($G146&gt;=$E146*(1+INDEX(Regras!$G$4:$G$103,MATCH($D146,Regras!$A$4:$A$103,0))),INDEX(Regras!$I$4:$I$103,MATCH($D146,Regras!$A$4:$A$103,0)),0))),""))</f>
        <v/>
      </c>
      <c r="V146" s="27">
        <f>IF($AG146&lt;&gt;"Pronta","",IFERROR(IF($H146/$S146&lt;=INDEX(Regras!$J$4:$J$103,MATCH($D146,Regras!$A$4:$A$103,0)),INDEX(Regras!$L$4:$L$103,MATCH($D146,Regras!$A$4:$A$103,0)),IF($H146/$S146&gt;=INDEX(Regras!$K$4:$K$103,MATCH($D146,Regras!$A$4:$A$103,0)),INDEX(Regras!$M$4:$M$103,MATCH($D146,Regras!$A$4:$A$103,0)),0)),""))</f>
        <v/>
      </c>
      <c r="W146" s="27">
        <f>IF($AG146&lt;&gt;"Pronta","",SUM($T146:$V146))</f>
        <v/>
      </c>
      <c r="X146" s="27">
        <f>IF($AG146&lt;&gt;"Pronta","",IFERROR(MAX(-INDEX(Regras!$N$4:$N$103,MATCH($D146,Regras!$A$4:$A$103,0)),MIN(INDEX(Regras!$N$4:$N$103,MATCH($D146,Regras!$A$4:$A$103,0)),$W146)),""))</f>
        <v/>
      </c>
      <c r="Y146" s="19">
        <f>IF($AG146&lt;&gt;"Pronta","",IFERROR(ROUND($E146*(1+$X146),2),""))</f>
        <v/>
      </c>
      <c r="Z146" s="29">
        <f>IF(OR($AG146&lt;&gt;"Pronta",$Q146="",$R146=""),"",IFERROR(ROUND(MIN($R146,MAX($Q146,$Y146)),2),""))</f>
        <v/>
      </c>
      <c r="AA146" s="27">
        <f>IF(OR($E146="",$Z146=""),"",IFERROR($Z146/$E146-1,""))</f>
        <v/>
      </c>
      <c r="AB146" s="26">
        <f>IF($Z146="","",IF($Y146&lt;$Q146,"Piso",IF($Y146&gt;$R146,"Teto","Nenhuma")))</f>
        <v/>
      </c>
      <c r="AC146" s="21">
        <f>IF($A146="","",IF($AG146&lt;&gt;"Pronta","Aguardando dados válidos",_xlfn.TEXTJOIN(" | ",TRUE,IF($T146&gt;0,"Demanda: aumento",IF($T146&lt;0,"Demanda: redução","")),IF($U146&gt;0,"Concorrência: aumento",IF($U146&lt;0,"Concorrência: redução","")),IF($V146&gt;0,"Estoque: aumento",IF($V146&lt;0,"Estoque: redução","")),IF(ABS($W146-$X146)&gt;0.0000001,"Limite da rodada aplicado",""),IF($AB146="Piso","Piso vigente aplicado",IF($AB146="Teto","Teto aplicado","")),IF(AND($T146=0,$U146=0,$V146=0),"Sem gatilho de reajuste",""))))</f>
        <v/>
      </c>
      <c r="AD146" s="21">
        <f>IF(OR($A146="",$AG146&lt;&gt;"Pronta"),"",_xlfn.TEXTJOIN(" | ",TRUE,IF($E146&lt;$Q146,"Preço atual abaixo do piso",""),IF($E146&gt;$R146,"Preço atual acima do teto",""),IF(AND($N146&gt;0,$E146&gt;0,1-$N146/$E146&lt;$O146),"Margem estimada do preço atual abaixo do mínimo",""),IF($G146="","Preço concorrente não informado",""),IF($AB146="Piso","Recomendação travada no piso",""),IF($AB146="Teto","Recomendação travada no teto","")))</f>
        <v/>
      </c>
      <c r="AE146" s="19">
        <f>IF($AG146&lt;&gt;"Pronta","",IF($I146="Aprovar recomendação",$Z146,IF($I146="Manter preço atual",$E146,IF($I146="Definir manualmente",$J146,""))))</f>
        <v/>
      </c>
      <c r="AF146" s="21">
        <f>IF($A146="","",IF($AG146&lt;&gt;"Pronta","Aguardando correção",IF(OR($I146="",$I146="Pendente"),"Decisão pendente",IF(AND($I146="Definir manualmente",OR($J146="",$J146&lt;=0)),"Informe o preço manual",IF(OR($AE146&lt;$Q146,$AE146&gt;$R146),"Preço final fora do piso/teto","OK")))))</f>
        <v/>
      </c>
      <c r="AG146" s="26">
        <f>IF(COUNTA($A146:$K146)=0,"",IF(OR($A146="",$B146="",$C146="",$D146="",$E146="",$F146="",$H146=""),"Incompleta",IF(OR(COUNTIF($A$5:$A$204,$A146)&gt;1,NOT(ISNUMBER($B146)),COUNTIF(Produtos!$A$4:$A$103,$C146)&lt;&gt;1,IFERROR(INDEX(Produtos!$K$4:$K$103,MATCH($C146,Produtos!$A$4:$A$103,0))&lt;&gt;"Ativo",TRUE),IFERROR(INDEX(Produtos!$L$4:$L$103,MATCH($C146,Produtos!$A$4:$A$103,0))&lt;&gt;"OK",TRUE),COUNTIF(Regras!$A$4:$A$103,$D146)&lt;&gt;1,IFERROR(INDEX(Regras!$O$4:$O$103,MATCH($D146,Regras!$A$4:$A$103,0))&lt;&gt;"Sim",TRUE),IFERROR(INDEX(Regras!$P$4:$P$103,MATCH($D146,Regras!$A$4:$A$103,0))&lt;&gt;"OK",TRUE),NOT(ISNUMBER($E146)),$E146&lt;=0,NOT(ISNUMBER($F146)),$F146&lt;0,$F146&gt;5,NOT(ISNUMBER($H146)),$H146&lt;0,$H146&lt;&gt;INT($H146),AND($G146&lt;&gt;"",OR(NOT(ISNUMBER($G146)),$G146&lt;=0))),"Revisar","Pronta")))</f>
        <v/>
      </c>
    </row>
    <row r="147">
      <c r="A147" s="16" t="n"/>
      <c r="B147" s="24" t="n"/>
      <c r="C147" s="16" t="n"/>
      <c r="D147" s="16" t="n"/>
      <c r="E147" s="17" t="n"/>
      <c r="F147" s="18" t="n"/>
      <c r="G147" s="17" t="n"/>
      <c r="H147" s="20" t="n"/>
      <c r="I147" s="16" t="n"/>
      <c r="J147" s="17" t="n"/>
      <c r="K147" s="25" t="n"/>
      <c r="L147" s="26">
        <f>IF($C147="","",IFERROR(INDEX(Produtos!$B$4:$B$103,MATCH($C147,Produtos!$A$4:$A$103,0)),""))</f>
        <v/>
      </c>
      <c r="M147" s="26">
        <f>IF($C147="","",IFERROR(INDEX(Produtos!$C$4:$C$103,MATCH($C147,Produtos!$A$4:$A$103,0)),""))</f>
        <v/>
      </c>
      <c r="N147" s="19">
        <f>IF($C147="","",IFERROR(INDEX(Produtos!$D$4:$D$103,MATCH($C147,Produtos!$A$4:$A$103,0)),""))</f>
        <v/>
      </c>
      <c r="O147" s="27">
        <f>IF($C147="","",IFERROR(INDEX(Produtos!$E$4:$E$103,MATCH($C147,Produtos!$A$4:$A$103,0)),""))</f>
        <v/>
      </c>
      <c r="P147" s="19">
        <f>IF($C147="","",IFERROR(INDEX(Produtos!$G$4:$G$103,MATCH($C147,Produtos!$A$4:$A$103,0)),""))</f>
        <v/>
      </c>
      <c r="Q147" s="19">
        <f>IF($C147="","",IFERROR(INDEX(Produtos!$H$4:$H$103,MATCH($C147,Produtos!$A$4:$A$103,0)),""))</f>
        <v/>
      </c>
      <c r="R147" s="19">
        <f>IF($C147="","",IFERROR(INDEX(Produtos!$I$4:$I$103,MATCH($C147,Produtos!$A$4:$A$103,0)),""))</f>
        <v/>
      </c>
      <c r="S147" s="28">
        <f>IF($C147="","",IFERROR(INDEX(Produtos!$J$4:$J$103,MATCH($C147,Produtos!$A$4:$A$103,0)),""))</f>
        <v/>
      </c>
      <c r="T147" s="27">
        <f>IF($AG147&lt;&gt;"Pronta","",IFERROR(IF($F147&lt;=INDEX(Regras!$C$4:$C$103,MATCH($D147,Regras!$A$4:$A$103,0)),INDEX(Regras!$E$4:$E$103,MATCH($D147,Regras!$A$4:$A$103,0)),IF($F147&gt;=INDEX(Regras!$D$4:$D$103,MATCH($D147,Regras!$A$4:$A$103,0)),INDEX(Regras!$F$4:$F$103,MATCH($D147,Regras!$A$4:$A$103,0)),0)),""))</f>
        <v/>
      </c>
      <c r="U147" s="27">
        <f>IF($AG147&lt;&gt;"Pronta","",IFERROR(IF($G147="",0,IF($G147&lt;=$E147*(1-INDEX(Regras!$G$4:$G$103,MATCH($D147,Regras!$A$4:$A$103,0))),INDEX(Regras!$H$4:$H$103,MATCH($D147,Regras!$A$4:$A$103,0)),IF($G147&gt;=$E147*(1+INDEX(Regras!$G$4:$G$103,MATCH($D147,Regras!$A$4:$A$103,0))),INDEX(Regras!$I$4:$I$103,MATCH($D147,Regras!$A$4:$A$103,0)),0))),""))</f>
        <v/>
      </c>
      <c r="V147" s="27">
        <f>IF($AG147&lt;&gt;"Pronta","",IFERROR(IF($H147/$S147&lt;=INDEX(Regras!$J$4:$J$103,MATCH($D147,Regras!$A$4:$A$103,0)),INDEX(Regras!$L$4:$L$103,MATCH($D147,Regras!$A$4:$A$103,0)),IF($H147/$S147&gt;=INDEX(Regras!$K$4:$K$103,MATCH($D147,Regras!$A$4:$A$103,0)),INDEX(Regras!$M$4:$M$103,MATCH($D147,Regras!$A$4:$A$103,0)),0)),""))</f>
        <v/>
      </c>
      <c r="W147" s="27">
        <f>IF($AG147&lt;&gt;"Pronta","",SUM($T147:$V147))</f>
        <v/>
      </c>
      <c r="X147" s="27">
        <f>IF($AG147&lt;&gt;"Pronta","",IFERROR(MAX(-INDEX(Regras!$N$4:$N$103,MATCH($D147,Regras!$A$4:$A$103,0)),MIN(INDEX(Regras!$N$4:$N$103,MATCH($D147,Regras!$A$4:$A$103,0)),$W147)),""))</f>
        <v/>
      </c>
      <c r="Y147" s="19">
        <f>IF($AG147&lt;&gt;"Pronta","",IFERROR(ROUND($E147*(1+$X147),2),""))</f>
        <v/>
      </c>
      <c r="Z147" s="29">
        <f>IF(OR($AG147&lt;&gt;"Pronta",$Q147="",$R147=""),"",IFERROR(ROUND(MIN($R147,MAX($Q147,$Y147)),2),""))</f>
        <v/>
      </c>
      <c r="AA147" s="27">
        <f>IF(OR($E147="",$Z147=""),"",IFERROR($Z147/$E147-1,""))</f>
        <v/>
      </c>
      <c r="AB147" s="26">
        <f>IF($Z147="","",IF($Y147&lt;$Q147,"Piso",IF($Y147&gt;$R147,"Teto","Nenhuma")))</f>
        <v/>
      </c>
      <c r="AC147" s="21">
        <f>IF($A147="","",IF($AG147&lt;&gt;"Pronta","Aguardando dados válidos",_xlfn.TEXTJOIN(" | ",TRUE,IF($T147&gt;0,"Demanda: aumento",IF($T147&lt;0,"Demanda: redução","")),IF($U147&gt;0,"Concorrência: aumento",IF($U147&lt;0,"Concorrência: redução","")),IF($V147&gt;0,"Estoque: aumento",IF($V147&lt;0,"Estoque: redução","")),IF(ABS($W147-$X147)&gt;0.0000001,"Limite da rodada aplicado",""),IF($AB147="Piso","Piso vigente aplicado",IF($AB147="Teto","Teto aplicado","")),IF(AND($T147=0,$U147=0,$V147=0),"Sem gatilho de reajuste",""))))</f>
        <v/>
      </c>
      <c r="AD147" s="21">
        <f>IF(OR($A147="",$AG147&lt;&gt;"Pronta"),"",_xlfn.TEXTJOIN(" | ",TRUE,IF($E147&lt;$Q147,"Preço atual abaixo do piso",""),IF($E147&gt;$R147,"Preço atual acima do teto",""),IF(AND($N147&gt;0,$E147&gt;0,1-$N147/$E147&lt;$O147),"Margem estimada do preço atual abaixo do mínimo",""),IF($G147="","Preço concorrente não informado",""),IF($AB147="Piso","Recomendação travada no piso",""),IF($AB147="Teto","Recomendação travada no teto","")))</f>
        <v/>
      </c>
      <c r="AE147" s="19">
        <f>IF($AG147&lt;&gt;"Pronta","",IF($I147="Aprovar recomendação",$Z147,IF($I147="Manter preço atual",$E147,IF($I147="Definir manualmente",$J147,""))))</f>
        <v/>
      </c>
      <c r="AF147" s="21">
        <f>IF($A147="","",IF($AG147&lt;&gt;"Pronta","Aguardando correção",IF(OR($I147="",$I147="Pendente"),"Decisão pendente",IF(AND($I147="Definir manualmente",OR($J147="",$J147&lt;=0)),"Informe o preço manual",IF(OR($AE147&lt;$Q147,$AE147&gt;$R147),"Preço final fora do piso/teto","OK")))))</f>
        <v/>
      </c>
      <c r="AG147" s="26">
        <f>IF(COUNTA($A147:$K147)=0,"",IF(OR($A147="",$B147="",$C147="",$D147="",$E147="",$F147="",$H147=""),"Incompleta",IF(OR(COUNTIF($A$5:$A$204,$A147)&gt;1,NOT(ISNUMBER($B147)),COUNTIF(Produtos!$A$4:$A$103,$C147)&lt;&gt;1,IFERROR(INDEX(Produtos!$K$4:$K$103,MATCH($C147,Produtos!$A$4:$A$103,0))&lt;&gt;"Ativo",TRUE),IFERROR(INDEX(Produtos!$L$4:$L$103,MATCH($C147,Produtos!$A$4:$A$103,0))&lt;&gt;"OK",TRUE),COUNTIF(Regras!$A$4:$A$103,$D147)&lt;&gt;1,IFERROR(INDEX(Regras!$O$4:$O$103,MATCH($D147,Regras!$A$4:$A$103,0))&lt;&gt;"Sim",TRUE),IFERROR(INDEX(Regras!$P$4:$P$103,MATCH($D147,Regras!$A$4:$A$103,0))&lt;&gt;"OK",TRUE),NOT(ISNUMBER($E147)),$E147&lt;=0,NOT(ISNUMBER($F147)),$F147&lt;0,$F147&gt;5,NOT(ISNUMBER($H147)),$H147&lt;0,$H147&lt;&gt;INT($H147),AND($G147&lt;&gt;"",OR(NOT(ISNUMBER($G147)),$G147&lt;=0))),"Revisar","Pronta")))</f>
        <v/>
      </c>
    </row>
    <row r="148">
      <c r="A148" s="16" t="n"/>
      <c r="B148" s="24" t="n"/>
      <c r="C148" s="16" t="n"/>
      <c r="D148" s="16" t="n"/>
      <c r="E148" s="17" t="n"/>
      <c r="F148" s="18" t="n"/>
      <c r="G148" s="17" t="n"/>
      <c r="H148" s="20" t="n"/>
      <c r="I148" s="16" t="n"/>
      <c r="J148" s="17" t="n"/>
      <c r="K148" s="25" t="n"/>
      <c r="L148" s="26">
        <f>IF($C148="","",IFERROR(INDEX(Produtos!$B$4:$B$103,MATCH($C148,Produtos!$A$4:$A$103,0)),""))</f>
        <v/>
      </c>
      <c r="M148" s="26">
        <f>IF($C148="","",IFERROR(INDEX(Produtos!$C$4:$C$103,MATCH($C148,Produtos!$A$4:$A$103,0)),""))</f>
        <v/>
      </c>
      <c r="N148" s="19">
        <f>IF($C148="","",IFERROR(INDEX(Produtos!$D$4:$D$103,MATCH($C148,Produtos!$A$4:$A$103,0)),""))</f>
        <v/>
      </c>
      <c r="O148" s="27">
        <f>IF($C148="","",IFERROR(INDEX(Produtos!$E$4:$E$103,MATCH($C148,Produtos!$A$4:$A$103,0)),""))</f>
        <v/>
      </c>
      <c r="P148" s="19">
        <f>IF($C148="","",IFERROR(INDEX(Produtos!$G$4:$G$103,MATCH($C148,Produtos!$A$4:$A$103,0)),""))</f>
        <v/>
      </c>
      <c r="Q148" s="19">
        <f>IF($C148="","",IFERROR(INDEX(Produtos!$H$4:$H$103,MATCH($C148,Produtos!$A$4:$A$103,0)),""))</f>
        <v/>
      </c>
      <c r="R148" s="19">
        <f>IF($C148="","",IFERROR(INDEX(Produtos!$I$4:$I$103,MATCH($C148,Produtos!$A$4:$A$103,0)),""))</f>
        <v/>
      </c>
      <c r="S148" s="28">
        <f>IF($C148="","",IFERROR(INDEX(Produtos!$J$4:$J$103,MATCH($C148,Produtos!$A$4:$A$103,0)),""))</f>
        <v/>
      </c>
      <c r="T148" s="27">
        <f>IF($AG148&lt;&gt;"Pronta","",IFERROR(IF($F148&lt;=INDEX(Regras!$C$4:$C$103,MATCH($D148,Regras!$A$4:$A$103,0)),INDEX(Regras!$E$4:$E$103,MATCH($D148,Regras!$A$4:$A$103,0)),IF($F148&gt;=INDEX(Regras!$D$4:$D$103,MATCH($D148,Regras!$A$4:$A$103,0)),INDEX(Regras!$F$4:$F$103,MATCH($D148,Regras!$A$4:$A$103,0)),0)),""))</f>
        <v/>
      </c>
      <c r="U148" s="27">
        <f>IF($AG148&lt;&gt;"Pronta","",IFERROR(IF($G148="",0,IF($G148&lt;=$E148*(1-INDEX(Regras!$G$4:$G$103,MATCH($D148,Regras!$A$4:$A$103,0))),INDEX(Regras!$H$4:$H$103,MATCH($D148,Regras!$A$4:$A$103,0)),IF($G148&gt;=$E148*(1+INDEX(Regras!$G$4:$G$103,MATCH($D148,Regras!$A$4:$A$103,0))),INDEX(Regras!$I$4:$I$103,MATCH($D148,Regras!$A$4:$A$103,0)),0))),""))</f>
        <v/>
      </c>
      <c r="V148" s="27">
        <f>IF($AG148&lt;&gt;"Pronta","",IFERROR(IF($H148/$S148&lt;=INDEX(Regras!$J$4:$J$103,MATCH($D148,Regras!$A$4:$A$103,0)),INDEX(Regras!$L$4:$L$103,MATCH($D148,Regras!$A$4:$A$103,0)),IF($H148/$S148&gt;=INDEX(Regras!$K$4:$K$103,MATCH($D148,Regras!$A$4:$A$103,0)),INDEX(Regras!$M$4:$M$103,MATCH($D148,Regras!$A$4:$A$103,0)),0)),""))</f>
        <v/>
      </c>
      <c r="W148" s="27">
        <f>IF($AG148&lt;&gt;"Pronta","",SUM($T148:$V148))</f>
        <v/>
      </c>
      <c r="X148" s="27">
        <f>IF($AG148&lt;&gt;"Pronta","",IFERROR(MAX(-INDEX(Regras!$N$4:$N$103,MATCH($D148,Regras!$A$4:$A$103,0)),MIN(INDEX(Regras!$N$4:$N$103,MATCH($D148,Regras!$A$4:$A$103,0)),$W148)),""))</f>
        <v/>
      </c>
      <c r="Y148" s="19">
        <f>IF($AG148&lt;&gt;"Pronta","",IFERROR(ROUND($E148*(1+$X148),2),""))</f>
        <v/>
      </c>
      <c r="Z148" s="29">
        <f>IF(OR($AG148&lt;&gt;"Pronta",$Q148="",$R148=""),"",IFERROR(ROUND(MIN($R148,MAX($Q148,$Y148)),2),""))</f>
        <v/>
      </c>
      <c r="AA148" s="27">
        <f>IF(OR($E148="",$Z148=""),"",IFERROR($Z148/$E148-1,""))</f>
        <v/>
      </c>
      <c r="AB148" s="26">
        <f>IF($Z148="","",IF($Y148&lt;$Q148,"Piso",IF($Y148&gt;$R148,"Teto","Nenhuma")))</f>
        <v/>
      </c>
      <c r="AC148" s="21">
        <f>IF($A148="","",IF($AG148&lt;&gt;"Pronta","Aguardando dados válidos",_xlfn.TEXTJOIN(" | ",TRUE,IF($T148&gt;0,"Demanda: aumento",IF($T148&lt;0,"Demanda: redução","")),IF($U148&gt;0,"Concorrência: aumento",IF($U148&lt;0,"Concorrência: redução","")),IF($V148&gt;0,"Estoque: aumento",IF($V148&lt;0,"Estoque: redução","")),IF(ABS($W148-$X148)&gt;0.0000001,"Limite da rodada aplicado",""),IF($AB148="Piso","Piso vigente aplicado",IF($AB148="Teto","Teto aplicado","")),IF(AND($T148=0,$U148=0,$V148=0),"Sem gatilho de reajuste",""))))</f>
        <v/>
      </c>
      <c r="AD148" s="21">
        <f>IF(OR($A148="",$AG148&lt;&gt;"Pronta"),"",_xlfn.TEXTJOIN(" | ",TRUE,IF($E148&lt;$Q148,"Preço atual abaixo do piso",""),IF($E148&gt;$R148,"Preço atual acima do teto",""),IF(AND($N148&gt;0,$E148&gt;0,1-$N148/$E148&lt;$O148),"Margem estimada do preço atual abaixo do mínimo",""),IF($G148="","Preço concorrente não informado",""),IF($AB148="Piso","Recomendação travada no piso",""),IF($AB148="Teto","Recomendação travada no teto","")))</f>
        <v/>
      </c>
      <c r="AE148" s="19">
        <f>IF($AG148&lt;&gt;"Pronta","",IF($I148="Aprovar recomendação",$Z148,IF($I148="Manter preço atual",$E148,IF($I148="Definir manualmente",$J148,""))))</f>
        <v/>
      </c>
      <c r="AF148" s="21">
        <f>IF($A148="","",IF($AG148&lt;&gt;"Pronta","Aguardando correção",IF(OR($I148="",$I148="Pendente"),"Decisão pendente",IF(AND($I148="Definir manualmente",OR($J148="",$J148&lt;=0)),"Informe o preço manual",IF(OR($AE148&lt;$Q148,$AE148&gt;$R148),"Preço final fora do piso/teto","OK")))))</f>
        <v/>
      </c>
      <c r="AG148" s="26">
        <f>IF(COUNTA($A148:$K148)=0,"",IF(OR($A148="",$B148="",$C148="",$D148="",$E148="",$F148="",$H148=""),"Incompleta",IF(OR(COUNTIF($A$5:$A$204,$A148)&gt;1,NOT(ISNUMBER($B148)),COUNTIF(Produtos!$A$4:$A$103,$C148)&lt;&gt;1,IFERROR(INDEX(Produtos!$K$4:$K$103,MATCH($C148,Produtos!$A$4:$A$103,0))&lt;&gt;"Ativo",TRUE),IFERROR(INDEX(Produtos!$L$4:$L$103,MATCH($C148,Produtos!$A$4:$A$103,0))&lt;&gt;"OK",TRUE),COUNTIF(Regras!$A$4:$A$103,$D148)&lt;&gt;1,IFERROR(INDEX(Regras!$O$4:$O$103,MATCH($D148,Regras!$A$4:$A$103,0))&lt;&gt;"Sim",TRUE),IFERROR(INDEX(Regras!$P$4:$P$103,MATCH($D148,Regras!$A$4:$A$103,0))&lt;&gt;"OK",TRUE),NOT(ISNUMBER($E148)),$E148&lt;=0,NOT(ISNUMBER($F148)),$F148&lt;0,$F148&gt;5,NOT(ISNUMBER($H148)),$H148&lt;0,$H148&lt;&gt;INT($H148),AND($G148&lt;&gt;"",OR(NOT(ISNUMBER($G148)),$G148&lt;=0))),"Revisar","Pronta")))</f>
        <v/>
      </c>
    </row>
    <row r="149">
      <c r="A149" s="16" t="n"/>
      <c r="B149" s="24" t="n"/>
      <c r="C149" s="16" t="n"/>
      <c r="D149" s="16" t="n"/>
      <c r="E149" s="17" t="n"/>
      <c r="F149" s="18" t="n"/>
      <c r="G149" s="17" t="n"/>
      <c r="H149" s="20" t="n"/>
      <c r="I149" s="16" t="n"/>
      <c r="J149" s="17" t="n"/>
      <c r="K149" s="25" t="n"/>
      <c r="L149" s="26">
        <f>IF($C149="","",IFERROR(INDEX(Produtos!$B$4:$B$103,MATCH($C149,Produtos!$A$4:$A$103,0)),""))</f>
        <v/>
      </c>
      <c r="M149" s="26">
        <f>IF($C149="","",IFERROR(INDEX(Produtos!$C$4:$C$103,MATCH($C149,Produtos!$A$4:$A$103,0)),""))</f>
        <v/>
      </c>
      <c r="N149" s="19">
        <f>IF($C149="","",IFERROR(INDEX(Produtos!$D$4:$D$103,MATCH($C149,Produtos!$A$4:$A$103,0)),""))</f>
        <v/>
      </c>
      <c r="O149" s="27">
        <f>IF($C149="","",IFERROR(INDEX(Produtos!$E$4:$E$103,MATCH($C149,Produtos!$A$4:$A$103,0)),""))</f>
        <v/>
      </c>
      <c r="P149" s="19">
        <f>IF($C149="","",IFERROR(INDEX(Produtos!$G$4:$G$103,MATCH($C149,Produtos!$A$4:$A$103,0)),""))</f>
        <v/>
      </c>
      <c r="Q149" s="19">
        <f>IF($C149="","",IFERROR(INDEX(Produtos!$H$4:$H$103,MATCH($C149,Produtos!$A$4:$A$103,0)),""))</f>
        <v/>
      </c>
      <c r="R149" s="19">
        <f>IF($C149="","",IFERROR(INDEX(Produtos!$I$4:$I$103,MATCH($C149,Produtos!$A$4:$A$103,0)),""))</f>
        <v/>
      </c>
      <c r="S149" s="28">
        <f>IF($C149="","",IFERROR(INDEX(Produtos!$J$4:$J$103,MATCH($C149,Produtos!$A$4:$A$103,0)),""))</f>
        <v/>
      </c>
      <c r="T149" s="27">
        <f>IF($AG149&lt;&gt;"Pronta","",IFERROR(IF($F149&lt;=INDEX(Regras!$C$4:$C$103,MATCH($D149,Regras!$A$4:$A$103,0)),INDEX(Regras!$E$4:$E$103,MATCH($D149,Regras!$A$4:$A$103,0)),IF($F149&gt;=INDEX(Regras!$D$4:$D$103,MATCH($D149,Regras!$A$4:$A$103,0)),INDEX(Regras!$F$4:$F$103,MATCH($D149,Regras!$A$4:$A$103,0)),0)),""))</f>
        <v/>
      </c>
      <c r="U149" s="27">
        <f>IF($AG149&lt;&gt;"Pronta","",IFERROR(IF($G149="",0,IF($G149&lt;=$E149*(1-INDEX(Regras!$G$4:$G$103,MATCH($D149,Regras!$A$4:$A$103,0))),INDEX(Regras!$H$4:$H$103,MATCH($D149,Regras!$A$4:$A$103,0)),IF($G149&gt;=$E149*(1+INDEX(Regras!$G$4:$G$103,MATCH($D149,Regras!$A$4:$A$103,0))),INDEX(Regras!$I$4:$I$103,MATCH($D149,Regras!$A$4:$A$103,0)),0))),""))</f>
        <v/>
      </c>
      <c r="V149" s="27">
        <f>IF($AG149&lt;&gt;"Pronta","",IFERROR(IF($H149/$S149&lt;=INDEX(Regras!$J$4:$J$103,MATCH($D149,Regras!$A$4:$A$103,0)),INDEX(Regras!$L$4:$L$103,MATCH($D149,Regras!$A$4:$A$103,0)),IF($H149/$S149&gt;=INDEX(Regras!$K$4:$K$103,MATCH($D149,Regras!$A$4:$A$103,0)),INDEX(Regras!$M$4:$M$103,MATCH($D149,Regras!$A$4:$A$103,0)),0)),""))</f>
        <v/>
      </c>
      <c r="W149" s="27">
        <f>IF($AG149&lt;&gt;"Pronta","",SUM($T149:$V149))</f>
        <v/>
      </c>
      <c r="X149" s="27">
        <f>IF($AG149&lt;&gt;"Pronta","",IFERROR(MAX(-INDEX(Regras!$N$4:$N$103,MATCH($D149,Regras!$A$4:$A$103,0)),MIN(INDEX(Regras!$N$4:$N$103,MATCH($D149,Regras!$A$4:$A$103,0)),$W149)),""))</f>
        <v/>
      </c>
      <c r="Y149" s="19">
        <f>IF($AG149&lt;&gt;"Pronta","",IFERROR(ROUND($E149*(1+$X149),2),""))</f>
        <v/>
      </c>
      <c r="Z149" s="29">
        <f>IF(OR($AG149&lt;&gt;"Pronta",$Q149="",$R149=""),"",IFERROR(ROUND(MIN($R149,MAX($Q149,$Y149)),2),""))</f>
        <v/>
      </c>
      <c r="AA149" s="27">
        <f>IF(OR($E149="",$Z149=""),"",IFERROR($Z149/$E149-1,""))</f>
        <v/>
      </c>
      <c r="AB149" s="26">
        <f>IF($Z149="","",IF($Y149&lt;$Q149,"Piso",IF($Y149&gt;$R149,"Teto","Nenhuma")))</f>
        <v/>
      </c>
      <c r="AC149" s="21">
        <f>IF($A149="","",IF($AG149&lt;&gt;"Pronta","Aguardando dados válidos",_xlfn.TEXTJOIN(" | ",TRUE,IF($T149&gt;0,"Demanda: aumento",IF($T149&lt;0,"Demanda: redução","")),IF($U149&gt;0,"Concorrência: aumento",IF($U149&lt;0,"Concorrência: redução","")),IF($V149&gt;0,"Estoque: aumento",IF($V149&lt;0,"Estoque: redução","")),IF(ABS($W149-$X149)&gt;0.0000001,"Limite da rodada aplicado",""),IF($AB149="Piso","Piso vigente aplicado",IF($AB149="Teto","Teto aplicado","")),IF(AND($T149=0,$U149=0,$V149=0),"Sem gatilho de reajuste",""))))</f>
        <v/>
      </c>
      <c r="AD149" s="21">
        <f>IF(OR($A149="",$AG149&lt;&gt;"Pronta"),"",_xlfn.TEXTJOIN(" | ",TRUE,IF($E149&lt;$Q149,"Preço atual abaixo do piso",""),IF($E149&gt;$R149,"Preço atual acima do teto",""),IF(AND($N149&gt;0,$E149&gt;0,1-$N149/$E149&lt;$O149),"Margem estimada do preço atual abaixo do mínimo",""),IF($G149="","Preço concorrente não informado",""),IF($AB149="Piso","Recomendação travada no piso",""),IF($AB149="Teto","Recomendação travada no teto","")))</f>
        <v/>
      </c>
      <c r="AE149" s="19">
        <f>IF($AG149&lt;&gt;"Pronta","",IF($I149="Aprovar recomendação",$Z149,IF($I149="Manter preço atual",$E149,IF($I149="Definir manualmente",$J149,""))))</f>
        <v/>
      </c>
      <c r="AF149" s="21">
        <f>IF($A149="","",IF($AG149&lt;&gt;"Pronta","Aguardando correção",IF(OR($I149="",$I149="Pendente"),"Decisão pendente",IF(AND($I149="Definir manualmente",OR($J149="",$J149&lt;=0)),"Informe o preço manual",IF(OR($AE149&lt;$Q149,$AE149&gt;$R149),"Preço final fora do piso/teto","OK")))))</f>
        <v/>
      </c>
      <c r="AG149" s="26">
        <f>IF(COUNTA($A149:$K149)=0,"",IF(OR($A149="",$B149="",$C149="",$D149="",$E149="",$F149="",$H149=""),"Incompleta",IF(OR(COUNTIF($A$5:$A$204,$A149)&gt;1,NOT(ISNUMBER($B149)),COUNTIF(Produtos!$A$4:$A$103,$C149)&lt;&gt;1,IFERROR(INDEX(Produtos!$K$4:$K$103,MATCH($C149,Produtos!$A$4:$A$103,0))&lt;&gt;"Ativo",TRUE),IFERROR(INDEX(Produtos!$L$4:$L$103,MATCH($C149,Produtos!$A$4:$A$103,0))&lt;&gt;"OK",TRUE),COUNTIF(Regras!$A$4:$A$103,$D149)&lt;&gt;1,IFERROR(INDEX(Regras!$O$4:$O$103,MATCH($D149,Regras!$A$4:$A$103,0))&lt;&gt;"Sim",TRUE),IFERROR(INDEX(Regras!$P$4:$P$103,MATCH($D149,Regras!$A$4:$A$103,0))&lt;&gt;"OK",TRUE),NOT(ISNUMBER($E149)),$E149&lt;=0,NOT(ISNUMBER($F149)),$F149&lt;0,$F149&gt;5,NOT(ISNUMBER($H149)),$H149&lt;0,$H149&lt;&gt;INT($H149),AND($G149&lt;&gt;"",OR(NOT(ISNUMBER($G149)),$G149&lt;=0))),"Revisar","Pronta")))</f>
        <v/>
      </c>
    </row>
    <row r="150">
      <c r="A150" s="16" t="n"/>
      <c r="B150" s="24" t="n"/>
      <c r="C150" s="16" t="n"/>
      <c r="D150" s="16" t="n"/>
      <c r="E150" s="17" t="n"/>
      <c r="F150" s="18" t="n"/>
      <c r="G150" s="17" t="n"/>
      <c r="H150" s="20" t="n"/>
      <c r="I150" s="16" t="n"/>
      <c r="J150" s="17" t="n"/>
      <c r="K150" s="25" t="n"/>
      <c r="L150" s="26">
        <f>IF($C150="","",IFERROR(INDEX(Produtos!$B$4:$B$103,MATCH($C150,Produtos!$A$4:$A$103,0)),""))</f>
        <v/>
      </c>
      <c r="M150" s="26">
        <f>IF($C150="","",IFERROR(INDEX(Produtos!$C$4:$C$103,MATCH($C150,Produtos!$A$4:$A$103,0)),""))</f>
        <v/>
      </c>
      <c r="N150" s="19">
        <f>IF($C150="","",IFERROR(INDEX(Produtos!$D$4:$D$103,MATCH($C150,Produtos!$A$4:$A$103,0)),""))</f>
        <v/>
      </c>
      <c r="O150" s="27">
        <f>IF($C150="","",IFERROR(INDEX(Produtos!$E$4:$E$103,MATCH($C150,Produtos!$A$4:$A$103,0)),""))</f>
        <v/>
      </c>
      <c r="P150" s="19">
        <f>IF($C150="","",IFERROR(INDEX(Produtos!$G$4:$G$103,MATCH($C150,Produtos!$A$4:$A$103,0)),""))</f>
        <v/>
      </c>
      <c r="Q150" s="19">
        <f>IF($C150="","",IFERROR(INDEX(Produtos!$H$4:$H$103,MATCH($C150,Produtos!$A$4:$A$103,0)),""))</f>
        <v/>
      </c>
      <c r="R150" s="19">
        <f>IF($C150="","",IFERROR(INDEX(Produtos!$I$4:$I$103,MATCH($C150,Produtos!$A$4:$A$103,0)),""))</f>
        <v/>
      </c>
      <c r="S150" s="28">
        <f>IF($C150="","",IFERROR(INDEX(Produtos!$J$4:$J$103,MATCH($C150,Produtos!$A$4:$A$103,0)),""))</f>
        <v/>
      </c>
      <c r="T150" s="27">
        <f>IF($AG150&lt;&gt;"Pronta","",IFERROR(IF($F150&lt;=INDEX(Regras!$C$4:$C$103,MATCH($D150,Regras!$A$4:$A$103,0)),INDEX(Regras!$E$4:$E$103,MATCH($D150,Regras!$A$4:$A$103,0)),IF($F150&gt;=INDEX(Regras!$D$4:$D$103,MATCH($D150,Regras!$A$4:$A$103,0)),INDEX(Regras!$F$4:$F$103,MATCH($D150,Regras!$A$4:$A$103,0)),0)),""))</f>
        <v/>
      </c>
      <c r="U150" s="27">
        <f>IF($AG150&lt;&gt;"Pronta","",IFERROR(IF($G150="",0,IF($G150&lt;=$E150*(1-INDEX(Regras!$G$4:$G$103,MATCH($D150,Regras!$A$4:$A$103,0))),INDEX(Regras!$H$4:$H$103,MATCH($D150,Regras!$A$4:$A$103,0)),IF($G150&gt;=$E150*(1+INDEX(Regras!$G$4:$G$103,MATCH($D150,Regras!$A$4:$A$103,0))),INDEX(Regras!$I$4:$I$103,MATCH($D150,Regras!$A$4:$A$103,0)),0))),""))</f>
        <v/>
      </c>
      <c r="V150" s="27">
        <f>IF($AG150&lt;&gt;"Pronta","",IFERROR(IF($H150/$S150&lt;=INDEX(Regras!$J$4:$J$103,MATCH($D150,Regras!$A$4:$A$103,0)),INDEX(Regras!$L$4:$L$103,MATCH($D150,Regras!$A$4:$A$103,0)),IF($H150/$S150&gt;=INDEX(Regras!$K$4:$K$103,MATCH($D150,Regras!$A$4:$A$103,0)),INDEX(Regras!$M$4:$M$103,MATCH($D150,Regras!$A$4:$A$103,0)),0)),""))</f>
        <v/>
      </c>
      <c r="W150" s="27">
        <f>IF($AG150&lt;&gt;"Pronta","",SUM($T150:$V150))</f>
        <v/>
      </c>
      <c r="X150" s="27">
        <f>IF($AG150&lt;&gt;"Pronta","",IFERROR(MAX(-INDEX(Regras!$N$4:$N$103,MATCH($D150,Regras!$A$4:$A$103,0)),MIN(INDEX(Regras!$N$4:$N$103,MATCH($D150,Regras!$A$4:$A$103,0)),$W150)),""))</f>
        <v/>
      </c>
      <c r="Y150" s="19">
        <f>IF($AG150&lt;&gt;"Pronta","",IFERROR(ROUND($E150*(1+$X150),2),""))</f>
        <v/>
      </c>
      <c r="Z150" s="29">
        <f>IF(OR($AG150&lt;&gt;"Pronta",$Q150="",$R150=""),"",IFERROR(ROUND(MIN($R150,MAX($Q150,$Y150)),2),""))</f>
        <v/>
      </c>
      <c r="AA150" s="27">
        <f>IF(OR($E150="",$Z150=""),"",IFERROR($Z150/$E150-1,""))</f>
        <v/>
      </c>
      <c r="AB150" s="26">
        <f>IF($Z150="","",IF($Y150&lt;$Q150,"Piso",IF($Y150&gt;$R150,"Teto","Nenhuma")))</f>
        <v/>
      </c>
      <c r="AC150" s="21">
        <f>IF($A150="","",IF($AG150&lt;&gt;"Pronta","Aguardando dados válidos",_xlfn.TEXTJOIN(" | ",TRUE,IF($T150&gt;0,"Demanda: aumento",IF($T150&lt;0,"Demanda: redução","")),IF($U150&gt;0,"Concorrência: aumento",IF($U150&lt;0,"Concorrência: redução","")),IF($V150&gt;0,"Estoque: aumento",IF($V150&lt;0,"Estoque: redução","")),IF(ABS($W150-$X150)&gt;0.0000001,"Limite da rodada aplicado",""),IF($AB150="Piso","Piso vigente aplicado",IF($AB150="Teto","Teto aplicado","")),IF(AND($T150=0,$U150=0,$V150=0),"Sem gatilho de reajuste",""))))</f>
        <v/>
      </c>
      <c r="AD150" s="21">
        <f>IF(OR($A150="",$AG150&lt;&gt;"Pronta"),"",_xlfn.TEXTJOIN(" | ",TRUE,IF($E150&lt;$Q150,"Preço atual abaixo do piso",""),IF($E150&gt;$R150,"Preço atual acima do teto",""),IF(AND($N150&gt;0,$E150&gt;0,1-$N150/$E150&lt;$O150),"Margem estimada do preço atual abaixo do mínimo",""),IF($G150="","Preço concorrente não informado",""),IF($AB150="Piso","Recomendação travada no piso",""),IF($AB150="Teto","Recomendação travada no teto","")))</f>
        <v/>
      </c>
      <c r="AE150" s="19">
        <f>IF($AG150&lt;&gt;"Pronta","",IF($I150="Aprovar recomendação",$Z150,IF($I150="Manter preço atual",$E150,IF($I150="Definir manualmente",$J150,""))))</f>
        <v/>
      </c>
      <c r="AF150" s="21">
        <f>IF($A150="","",IF($AG150&lt;&gt;"Pronta","Aguardando correção",IF(OR($I150="",$I150="Pendente"),"Decisão pendente",IF(AND($I150="Definir manualmente",OR($J150="",$J150&lt;=0)),"Informe o preço manual",IF(OR($AE150&lt;$Q150,$AE150&gt;$R150),"Preço final fora do piso/teto","OK")))))</f>
        <v/>
      </c>
      <c r="AG150" s="26">
        <f>IF(COUNTA($A150:$K150)=0,"",IF(OR($A150="",$B150="",$C150="",$D150="",$E150="",$F150="",$H150=""),"Incompleta",IF(OR(COUNTIF($A$5:$A$204,$A150)&gt;1,NOT(ISNUMBER($B150)),COUNTIF(Produtos!$A$4:$A$103,$C150)&lt;&gt;1,IFERROR(INDEX(Produtos!$K$4:$K$103,MATCH($C150,Produtos!$A$4:$A$103,0))&lt;&gt;"Ativo",TRUE),IFERROR(INDEX(Produtos!$L$4:$L$103,MATCH($C150,Produtos!$A$4:$A$103,0))&lt;&gt;"OK",TRUE),COUNTIF(Regras!$A$4:$A$103,$D150)&lt;&gt;1,IFERROR(INDEX(Regras!$O$4:$O$103,MATCH($D150,Regras!$A$4:$A$103,0))&lt;&gt;"Sim",TRUE),IFERROR(INDEX(Regras!$P$4:$P$103,MATCH($D150,Regras!$A$4:$A$103,0))&lt;&gt;"OK",TRUE),NOT(ISNUMBER($E150)),$E150&lt;=0,NOT(ISNUMBER($F150)),$F150&lt;0,$F150&gt;5,NOT(ISNUMBER($H150)),$H150&lt;0,$H150&lt;&gt;INT($H150),AND($G150&lt;&gt;"",OR(NOT(ISNUMBER($G150)),$G150&lt;=0))),"Revisar","Pronta")))</f>
        <v/>
      </c>
    </row>
    <row r="151">
      <c r="A151" s="16" t="n"/>
      <c r="B151" s="24" t="n"/>
      <c r="C151" s="16" t="n"/>
      <c r="D151" s="16" t="n"/>
      <c r="E151" s="17" t="n"/>
      <c r="F151" s="18" t="n"/>
      <c r="G151" s="17" t="n"/>
      <c r="H151" s="20" t="n"/>
      <c r="I151" s="16" t="n"/>
      <c r="J151" s="17" t="n"/>
      <c r="K151" s="25" t="n"/>
      <c r="L151" s="26">
        <f>IF($C151="","",IFERROR(INDEX(Produtos!$B$4:$B$103,MATCH($C151,Produtos!$A$4:$A$103,0)),""))</f>
        <v/>
      </c>
      <c r="M151" s="26">
        <f>IF($C151="","",IFERROR(INDEX(Produtos!$C$4:$C$103,MATCH($C151,Produtos!$A$4:$A$103,0)),""))</f>
        <v/>
      </c>
      <c r="N151" s="19">
        <f>IF($C151="","",IFERROR(INDEX(Produtos!$D$4:$D$103,MATCH($C151,Produtos!$A$4:$A$103,0)),""))</f>
        <v/>
      </c>
      <c r="O151" s="27">
        <f>IF($C151="","",IFERROR(INDEX(Produtos!$E$4:$E$103,MATCH($C151,Produtos!$A$4:$A$103,0)),""))</f>
        <v/>
      </c>
      <c r="P151" s="19">
        <f>IF($C151="","",IFERROR(INDEX(Produtos!$G$4:$G$103,MATCH($C151,Produtos!$A$4:$A$103,0)),""))</f>
        <v/>
      </c>
      <c r="Q151" s="19">
        <f>IF($C151="","",IFERROR(INDEX(Produtos!$H$4:$H$103,MATCH($C151,Produtos!$A$4:$A$103,0)),""))</f>
        <v/>
      </c>
      <c r="R151" s="19">
        <f>IF($C151="","",IFERROR(INDEX(Produtos!$I$4:$I$103,MATCH($C151,Produtos!$A$4:$A$103,0)),""))</f>
        <v/>
      </c>
      <c r="S151" s="28">
        <f>IF($C151="","",IFERROR(INDEX(Produtos!$J$4:$J$103,MATCH($C151,Produtos!$A$4:$A$103,0)),""))</f>
        <v/>
      </c>
      <c r="T151" s="27">
        <f>IF($AG151&lt;&gt;"Pronta","",IFERROR(IF($F151&lt;=INDEX(Regras!$C$4:$C$103,MATCH($D151,Regras!$A$4:$A$103,0)),INDEX(Regras!$E$4:$E$103,MATCH($D151,Regras!$A$4:$A$103,0)),IF($F151&gt;=INDEX(Regras!$D$4:$D$103,MATCH($D151,Regras!$A$4:$A$103,0)),INDEX(Regras!$F$4:$F$103,MATCH($D151,Regras!$A$4:$A$103,0)),0)),""))</f>
        <v/>
      </c>
      <c r="U151" s="27">
        <f>IF($AG151&lt;&gt;"Pronta","",IFERROR(IF($G151="",0,IF($G151&lt;=$E151*(1-INDEX(Regras!$G$4:$G$103,MATCH($D151,Regras!$A$4:$A$103,0))),INDEX(Regras!$H$4:$H$103,MATCH($D151,Regras!$A$4:$A$103,0)),IF($G151&gt;=$E151*(1+INDEX(Regras!$G$4:$G$103,MATCH($D151,Regras!$A$4:$A$103,0))),INDEX(Regras!$I$4:$I$103,MATCH($D151,Regras!$A$4:$A$103,0)),0))),""))</f>
        <v/>
      </c>
      <c r="V151" s="27">
        <f>IF($AG151&lt;&gt;"Pronta","",IFERROR(IF($H151/$S151&lt;=INDEX(Regras!$J$4:$J$103,MATCH($D151,Regras!$A$4:$A$103,0)),INDEX(Regras!$L$4:$L$103,MATCH($D151,Regras!$A$4:$A$103,0)),IF($H151/$S151&gt;=INDEX(Regras!$K$4:$K$103,MATCH($D151,Regras!$A$4:$A$103,0)),INDEX(Regras!$M$4:$M$103,MATCH($D151,Regras!$A$4:$A$103,0)),0)),""))</f>
        <v/>
      </c>
      <c r="W151" s="27">
        <f>IF($AG151&lt;&gt;"Pronta","",SUM($T151:$V151))</f>
        <v/>
      </c>
      <c r="X151" s="27">
        <f>IF($AG151&lt;&gt;"Pronta","",IFERROR(MAX(-INDEX(Regras!$N$4:$N$103,MATCH($D151,Regras!$A$4:$A$103,0)),MIN(INDEX(Regras!$N$4:$N$103,MATCH($D151,Regras!$A$4:$A$103,0)),$W151)),""))</f>
        <v/>
      </c>
      <c r="Y151" s="19">
        <f>IF($AG151&lt;&gt;"Pronta","",IFERROR(ROUND($E151*(1+$X151),2),""))</f>
        <v/>
      </c>
      <c r="Z151" s="29">
        <f>IF(OR($AG151&lt;&gt;"Pronta",$Q151="",$R151=""),"",IFERROR(ROUND(MIN($R151,MAX($Q151,$Y151)),2),""))</f>
        <v/>
      </c>
      <c r="AA151" s="27">
        <f>IF(OR($E151="",$Z151=""),"",IFERROR($Z151/$E151-1,""))</f>
        <v/>
      </c>
      <c r="AB151" s="26">
        <f>IF($Z151="","",IF($Y151&lt;$Q151,"Piso",IF($Y151&gt;$R151,"Teto","Nenhuma")))</f>
        <v/>
      </c>
      <c r="AC151" s="21">
        <f>IF($A151="","",IF($AG151&lt;&gt;"Pronta","Aguardando dados válidos",_xlfn.TEXTJOIN(" | ",TRUE,IF($T151&gt;0,"Demanda: aumento",IF($T151&lt;0,"Demanda: redução","")),IF($U151&gt;0,"Concorrência: aumento",IF($U151&lt;0,"Concorrência: redução","")),IF($V151&gt;0,"Estoque: aumento",IF($V151&lt;0,"Estoque: redução","")),IF(ABS($W151-$X151)&gt;0.0000001,"Limite da rodada aplicado",""),IF($AB151="Piso","Piso vigente aplicado",IF($AB151="Teto","Teto aplicado","")),IF(AND($T151=0,$U151=0,$V151=0),"Sem gatilho de reajuste",""))))</f>
        <v/>
      </c>
      <c r="AD151" s="21">
        <f>IF(OR($A151="",$AG151&lt;&gt;"Pronta"),"",_xlfn.TEXTJOIN(" | ",TRUE,IF($E151&lt;$Q151,"Preço atual abaixo do piso",""),IF($E151&gt;$R151,"Preço atual acima do teto",""),IF(AND($N151&gt;0,$E151&gt;0,1-$N151/$E151&lt;$O151),"Margem estimada do preço atual abaixo do mínimo",""),IF($G151="","Preço concorrente não informado",""),IF($AB151="Piso","Recomendação travada no piso",""),IF($AB151="Teto","Recomendação travada no teto","")))</f>
        <v/>
      </c>
      <c r="AE151" s="19">
        <f>IF($AG151&lt;&gt;"Pronta","",IF($I151="Aprovar recomendação",$Z151,IF($I151="Manter preço atual",$E151,IF($I151="Definir manualmente",$J151,""))))</f>
        <v/>
      </c>
      <c r="AF151" s="21">
        <f>IF($A151="","",IF($AG151&lt;&gt;"Pronta","Aguardando correção",IF(OR($I151="",$I151="Pendente"),"Decisão pendente",IF(AND($I151="Definir manualmente",OR($J151="",$J151&lt;=0)),"Informe o preço manual",IF(OR($AE151&lt;$Q151,$AE151&gt;$R151),"Preço final fora do piso/teto","OK")))))</f>
        <v/>
      </c>
      <c r="AG151" s="26">
        <f>IF(COUNTA($A151:$K151)=0,"",IF(OR($A151="",$B151="",$C151="",$D151="",$E151="",$F151="",$H151=""),"Incompleta",IF(OR(COUNTIF($A$5:$A$204,$A151)&gt;1,NOT(ISNUMBER($B151)),COUNTIF(Produtos!$A$4:$A$103,$C151)&lt;&gt;1,IFERROR(INDEX(Produtos!$K$4:$K$103,MATCH($C151,Produtos!$A$4:$A$103,0))&lt;&gt;"Ativo",TRUE),IFERROR(INDEX(Produtos!$L$4:$L$103,MATCH($C151,Produtos!$A$4:$A$103,0))&lt;&gt;"OK",TRUE),COUNTIF(Regras!$A$4:$A$103,$D151)&lt;&gt;1,IFERROR(INDEX(Regras!$O$4:$O$103,MATCH($D151,Regras!$A$4:$A$103,0))&lt;&gt;"Sim",TRUE),IFERROR(INDEX(Regras!$P$4:$P$103,MATCH($D151,Regras!$A$4:$A$103,0))&lt;&gt;"OK",TRUE),NOT(ISNUMBER($E151)),$E151&lt;=0,NOT(ISNUMBER($F151)),$F151&lt;0,$F151&gt;5,NOT(ISNUMBER($H151)),$H151&lt;0,$H151&lt;&gt;INT($H151),AND($G151&lt;&gt;"",OR(NOT(ISNUMBER($G151)),$G151&lt;=0))),"Revisar","Pronta")))</f>
        <v/>
      </c>
    </row>
    <row r="152">
      <c r="A152" s="16" t="n"/>
      <c r="B152" s="24" t="n"/>
      <c r="C152" s="16" t="n"/>
      <c r="D152" s="16" t="n"/>
      <c r="E152" s="17" t="n"/>
      <c r="F152" s="18" t="n"/>
      <c r="G152" s="17" t="n"/>
      <c r="H152" s="20" t="n"/>
      <c r="I152" s="16" t="n"/>
      <c r="J152" s="17" t="n"/>
      <c r="K152" s="25" t="n"/>
      <c r="L152" s="26">
        <f>IF($C152="","",IFERROR(INDEX(Produtos!$B$4:$B$103,MATCH($C152,Produtos!$A$4:$A$103,0)),""))</f>
        <v/>
      </c>
      <c r="M152" s="26">
        <f>IF($C152="","",IFERROR(INDEX(Produtos!$C$4:$C$103,MATCH($C152,Produtos!$A$4:$A$103,0)),""))</f>
        <v/>
      </c>
      <c r="N152" s="19">
        <f>IF($C152="","",IFERROR(INDEX(Produtos!$D$4:$D$103,MATCH($C152,Produtos!$A$4:$A$103,0)),""))</f>
        <v/>
      </c>
      <c r="O152" s="27">
        <f>IF($C152="","",IFERROR(INDEX(Produtos!$E$4:$E$103,MATCH($C152,Produtos!$A$4:$A$103,0)),""))</f>
        <v/>
      </c>
      <c r="P152" s="19">
        <f>IF($C152="","",IFERROR(INDEX(Produtos!$G$4:$G$103,MATCH($C152,Produtos!$A$4:$A$103,0)),""))</f>
        <v/>
      </c>
      <c r="Q152" s="19">
        <f>IF($C152="","",IFERROR(INDEX(Produtos!$H$4:$H$103,MATCH($C152,Produtos!$A$4:$A$103,0)),""))</f>
        <v/>
      </c>
      <c r="R152" s="19">
        <f>IF($C152="","",IFERROR(INDEX(Produtos!$I$4:$I$103,MATCH($C152,Produtos!$A$4:$A$103,0)),""))</f>
        <v/>
      </c>
      <c r="S152" s="28">
        <f>IF($C152="","",IFERROR(INDEX(Produtos!$J$4:$J$103,MATCH($C152,Produtos!$A$4:$A$103,0)),""))</f>
        <v/>
      </c>
      <c r="T152" s="27">
        <f>IF($AG152&lt;&gt;"Pronta","",IFERROR(IF($F152&lt;=INDEX(Regras!$C$4:$C$103,MATCH($D152,Regras!$A$4:$A$103,0)),INDEX(Regras!$E$4:$E$103,MATCH($D152,Regras!$A$4:$A$103,0)),IF($F152&gt;=INDEX(Regras!$D$4:$D$103,MATCH($D152,Regras!$A$4:$A$103,0)),INDEX(Regras!$F$4:$F$103,MATCH($D152,Regras!$A$4:$A$103,0)),0)),""))</f>
        <v/>
      </c>
      <c r="U152" s="27">
        <f>IF($AG152&lt;&gt;"Pronta","",IFERROR(IF($G152="",0,IF($G152&lt;=$E152*(1-INDEX(Regras!$G$4:$G$103,MATCH($D152,Regras!$A$4:$A$103,0))),INDEX(Regras!$H$4:$H$103,MATCH($D152,Regras!$A$4:$A$103,0)),IF($G152&gt;=$E152*(1+INDEX(Regras!$G$4:$G$103,MATCH($D152,Regras!$A$4:$A$103,0))),INDEX(Regras!$I$4:$I$103,MATCH($D152,Regras!$A$4:$A$103,0)),0))),""))</f>
        <v/>
      </c>
      <c r="V152" s="27">
        <f>IF($AG152&lt;&gt;"Pronta","",IFERROR(IF($H152/$S152&lt;=INDEX(Regras!$J$4:$J$103,MATCH($D152,Regras!$A$4:$A$103,0)),INDEX(Regras!$L$4:$L$103,MATCH($D152,Regras!$A$4:$A$103,0)),IF($H152/$S152&gt;=INDEX(Regras!$K$4:$K$103,MATCH($D152,Regras!$A$4:$A$103,0)),INDEX(Regras!$M$4:$M$103,MATCH($D152,Regras!$A$4:$A$103,0)),0)),""))</f>
        <v/>
      </c>
      <c r="W152" s="27">
        <f>IF($AG152&lt;&gt;"Pronta","",SUM($T152:$V152))</f>
        <v/>
      </c>
      <c r="X152" s="27">
        <f>IF($AG152&lt;&gt;"Pronta","",IFERROR(MAX(-INDEX(Regras!$N$4:$N$103,MATCH($D152,Regras!$A$4:$A$103,0)),MIN(INDEX(Regras!$N$4:$N$103,MATCH($D152,Regras!$A$4:$A$103,0)),$W152)),""))</f>
        <v/>
      </c>
      <c r="Y152" s="19">
        <f>IF($AG152&lt;&gt;"Pronta","",IFERROR(ROUND($E152*(1+$X152),2),""))</f>
        <v/>
      </c>
      <c r="Z152" s="29">
        <f>IF(OR($AG152&lt;&gt;"Pronta",$Q152="",$R152=""),"",IFERROR(ROUND(MIN($R152,MAX($Q152,$Y152)),2),""))</f>
        <v/>
      </c>
      <c r="AA152" s="27">
        <f>IF(OR($E152="",$Z152=""),"",IFERROR($Z152/$E152-1,""))</f>
        <v/>
      </c>
      <c r="AB152" s="26">
        <f>IF($Z152="","",IF($Y152&lt;$Q152,"Piso",IF($Y152&gt;$R152,"Teto","Nenhuma")))</f>
        <v/>
      </c>
      <c r="AC152" s="21">
        <f>IF($A152="","",IF($AG152&lt;&gt;"Pronta","Aguardando dados válidos",_xlfn.TEXTJOIN(" | ",TRUE,IF($T152&gt;0,"Demanda: aumento",IF($T152&lt;0,"Demanda: redução","")),IF($U152&gt;0,"Concorrência: aumento",IF($U152&lt;0,"Concorrência: redução","")),IF($V152&gt;0,"Estoque: aumento",IF($V152&lt;0,"Estoque: redução","")),IF(ABS($W152-$X152)&gt;0.0000001,"Limite da rodada aplicado",""),IF($AB152="Piso","Piso vigente aplicado",IF($AB152="Teto","Teto aplicado","")),IF(AND($T152=0,$U152=0,$V152=0),"Sem gatilho de reajuste",""))))</f>
        <v/>
      </c>
      <c r="AD152" s="21">
        <f>IF(OR($A152="",$AG152&lt;&gt;"Pronta"),"",_xlfn.TEXTJOIN(" | ",TRUE,IF($E152&lt;$Q152,"Preço atual abaixo do piso",""),IF($E152&gt;$R152,"Preço atual acima do teto",""),IF(AND($N152&gt;0,$E152&gt;0,1-$N152/$E152&lt;$O152),"Margem estimada do preço atual abaixo do mínimo",""),IF($G152="","Preço concorrente não informado",""),IF($AB152="Piso","Recomendação travada no piso",""),IF($AB152="Teto","Recomendação travada no teto","")))</f>
        <v/>
      </c>
      <c r="AE152" s="19">
        <f>IF($AG152&lt;&gt;"Pronta","",IF($I152="Aprovar recomendação",$Z152,IF($I152="Manter preço atual",$E152,IF($I152="Definir manualmente",$J152,""))))</f>
        <v/>
      </c>
      <c r="AF152" s="21">
        <f>IF($A152="","",IF($AG152&lt;&gt;"Pronta","Aguardando correção",IF(OR($I152="",$I152="Pendente"),"Decisão pendente",IF(AND($I152="Definir manualmente",OR($J152="",$J152&lt;=0)),"Informe o preço manual",IF(OR($AE152&lt;$Q152,$AE152&gt;$R152),"Preço final fora do piso/teto","OK")))))</f>
        <v/>
      </c>
      <c r="AG152" s="26">
        <f>IF(COUNTA($A152:$K152)=0,"",IF(OR($A152="",$B152="",$C152="",$D152="",$E152="",$F152="",$H152=""),"Incompleta",IF(OR(COUNTIF($A$5:$A$204,$A152)&gt;1,NOT(ISNUMBER($B152)),COUNTIF(Produtos!$A$4:$A$103,$C152)&lt;&gt;1,IFERROR(INDEX(Produtos!$K$4:$K$103,MATCH($C152,Produtos!$A$4:$A$103,0))&lt;&gt;"Ativo",TRUE),IFERROR(INDEX(Produtos!$L$4:$L$103,MATCH($C152,Produtos!$A$4:$A$103,0))&lt;&gt;"OK",TRUE),COUNTIF(Regras!$A$4:$A$103,$D152)&lt;&gt;1,IFERROR(INDEX(Regras!$O$4:$O$103,MATCH($D152,Regras!$A$4:$A$103,0))&lt;&gt;"Sim",TRUE),IFERROR(INDEX(Regras!$P$4:$P$103,MATCH($D152,Regras!$A$4:$A$103,0))&lt;&gt;"OK",TRUE),NOT(ISNUMBER($E152)),$E152&lt;=0,NOT(ISNUMBER($F152)),$F152&lt;0,$F152&gt;5,NOT(ISNUMBER($H152)),$H152&lt;0,$H152&lt;&gt;INT($H152),AND($G152&lt;&gt;"",OR(NOT(ISNUMBER($G152)),$G152&lt;=0))),"Revisar","Pronta")))</f>
        <v/>
      </c>
    </row>
    <row r="153">
      <c r="A153" s="16" t="n"/>
      <c r="B153" s="24" t="n"/>
      <c r="C153" s="16" t="n"/>
      <c r="D153" s="16" t="n"/>
      <c r="E153" s="17" t="n"/>
      <c r="F153" s="18" t="n"/>
      <c r="G153" s="17" t="n"/>
      <c r="H153" s="20" t="n"/>
      <c r="I153" s="16" t="n"/>
      <c r="J153" s="17" t="n"/>
      <c r="K153" s="25" t="n"/>
      <c r="L153" s="26">
        <f>IF($C153="","",IFERROR(INDEX(Produtos!$B$4:$B$103,MATCH($C153,Produtos!$A$4:$A$103,0)),""))</f>
        <v/>
      </c>
      <c r="M153" s="26">
        <f>IF($C153="","",IFERROR(INDEX(Produtos!$C$4:$C$103,MATCH($C153,Produtos!$A$4:$A$103,0)),""))</f>
        <v/>
      </c>
      <c r="N153" s="19">
        <f>IF($C153="","",IFERROR(INDEX(Produtos!$D$4:$D$103,MATCH($C153,Produtos!$A$4:$A$103,0)),""))</f>
        <v/>
      </c>
      <c r="O153" s="27">
        <f>IF($C153="","",IFERROR(INDEX(Produtos!$E$4:$E$103,MATCH($C153,Produtos!$A$4:$A$103,0)),""))</f>
        <v/>
      </c>
      <c r="P153" s="19">
        <f>IF($C153="","",IFERROR(INDEX(Produtos!$G$4:$G$103,MATCH($C153,Produtos!$A$4:$A$103,0)),""))</f>
        <v/>
      </c>
      <c r="Q153" s="19">
        <f>IF($C153="","",IFERROR(INDEX(Produtos!$H$4:$H$103,MATCH($C153,Produtos!$A$4:$A$103,0)),""))</f>
        <v/>
      </c>
      <c r="R153" s="19">
        <f>IF($C153="","",IFERROR(INDEX(Produtos!$I$4:$I$103,MATCH($C153,Produtos!$A$4:$A$103,0)),""))</f>
        <v/>
      </c>
      <c r="S153" s="28">
        <f>IF($C153="","",IFERROR(INDEX(Produtos!$J$4:$J$103,MATCH($C153,Produtos!$A$4:$A$103,0)),""))</f>
        <v/>
      </c>
      <c r="T153" s="27">
        <f>IF($AG153&lt;&gt;"Pronta","",IFERROR(IF($F153&lt;=INDEX(Regras!$C$4:$C$103,MATCH($D153,Regras!$A$4:$A$103,0)),INDEX(Regras!$E$4:$E$103,MATCH($D153,Regras!$A$4:$A$103,0)),IF($F153&gt;=INDEX(Regras!$D$4:$D$103,MATCH($D153,Regras!$A$4:$A$103,0)),INDEX(Regras!$F$4:$F$103,MATCH($D153,Regras!$A$4:$A$103,0)),0)),""))</f>
        <v/>
      </c>
      <c r="U153" s="27">
        <f>IF($AG153&lt;&gt;"Pronta","",IFERROR(IF($G153="",0,IF($G153&lt;=$E153*(1-INDEX(Regras!$G$4:$G$103,MATCH($D153,Regras!$A$4:$A$103,0))),INDEX(Regras!$H$4:$H$103,MATCH($D153,Regras!$A$4:$A$103,0)),IF($G153&gt;=$E153*(1+INDEX(Regras!$G$4:$G$103,MATCH($D153,Regras!$A$4:$A$103,0))),INDEX(Regras!$I$4:$I$103,MATCH($D153,Regras!$A$4:$A$103,0)),0))),""))</f>
        <v/>
      </c>
      <c r="V153" s="27">
        <f>IF($AG153&lt;&gt;"Pronta","",IFERROR(IF($H153/$S153&lt;=INDEX(Regras!$J$4:$J$103,MATCH($D153,Regras!$A$4:$A$103,0)),INDEX(Regras!$L$4:$L$103,MATCH($D153,Regras!$A$4:$A$103,0)),IF($H153/$S153&gt;=INDEX(Regras!$K$4:$K$103,MATCH($D153,Regras!$A$4:$A$103,0)),INDEX(Regras!$M$4:$M$103,MATCH($D153,Regras!$A$4:$A$103,0)),0)),""))</f>
        <v/>
      </c>
      <c r="W153" s="27">
        <f>IF($AG153&lt;&gt;"Pronta","",SUM($T153:$V153))</f>
        <v/>
      </c>
      <c r="X153" s="27">
        <f>IF($AG153&lt;&gt;"Pronta","",IFERROR(MAX(-INDEX(Regras!$N$4:$N$103,MATCH($D153,Regras!$A$4:$A$103,0)),MIN(INDEX(Regras!$N$4:$N$103,MATCH($D153,Regras!$A$4:$A$103,0)),$W153)),""))</f>
        <v/>
      </c>
      <c r="Y153" s="19">
        <f>IF($AG153&lt;&gt;"Pronta","",IFERROR(ROUND($E153*(1+$X153),2),""))</f>
        <v/>
      </c>
      <c r="Z153" s="29">
        <f>IF(OR($AG153&lt;&gt;"Pronta",$Q153="",$R153=""),"",IFERROR(ROUND(MIN($R153,MAX($Q153,$Y153)),2),""))</f>
        <v/>
      </c>
      <c r="AA153" s="27">
        <f>IF(OR($E153="",$Z153=""),"",IFERROR($Z153/$E153-1,""))</f>
        <v/>
      </c>
      <c r="AB153" s="26">
        <f>IF($Z153="","",IF($Y153&lt;$Q153,"Piso",IF($Y153&gt;$R153,"Teto","Nenhuma")))</f>
        <v/>
      </c>
      <c r="AC153" s="21">
        <f>IF($A153="","",IF($AG153&lt;&gt;"Pronta","Aguardando dados válidos",_xlfn.TEXTJOIN(" | ",TRUE,IF($T153&gt;0,"Demanda: aumento",IF($T153&lt;0,"Demanda: redução","")),IF($U153&gt;0,"Concorrência: aumento",IF($U153&lt;0,"Concorrência: redução","")),IF($V153&gt;0,"Estoque: aumento",IF($V153&lt;0,"Estoque: redução","")),IF(ABS($W153-$X153)&gt;0.0000001,"Limite da rodada aplicado",""),IF($AB153="Piso","Piso vigente aplicado",IF($AB153="Teto","Teto aplicado","")),IF(AND($T153=0,$U153=0,$V153=0),"Sem gatilho de reajuste",""))))</f>
        <v/>
      </c>
      <c r="AD153" s="21">
        <f>IF(OR($A153="",$AG153&lt;&gt;"Pronta"),"",_xlfn.TEXTJOIN(" | ",TRUE,IF($E153&lt;$Q153,"Preço atual abaixo do piso",""),IF($E153&gt;$R153,"Preço atual acima do teto",""),IF(AND($N153&gt;0,$E153&gt;0,1-$N153/$E153&lt;$O153),"Margem estimada do preço atual abaixo do mínimo",""),IF($G153="","Preço concorrente não informado",""),IF($AB153="Piso","Recomendação travada no piso",""),IF($AB153="Teto","Recomendação travada no teto","")))</f>
        <v/>
      </c>
      <c r="AE153" s="19">
        <f>IF($AG153&lt;&gt;"Pronta","",IF($I153="Aprovar recomendação",$Z153,IF($I153="Manter preço atual",$E153,IF($I153="Definir manualmente",$J153,""))))</f>
        <v/>
      </c>
      <c r="AF153" s="21">
        <f>IF($A153="","",IF($AG153&lt;&gt;"Pronta","Aguardando correção",IF(OR($I153="",$I153="Pendente"),"Decisão pendente",IF(AND($I153="Definir manualmente",OR($J153="",$J153&lt;=0)),"Informe o preço manual",IF(OR($AE153&lt;$Q153,$AE153&gt;$R153),"Preço final fora do piso/teto","OK")))))</f>
        <v/>
      </c>
      <c r="AG153" s="26">
        <f>IF(COUNTA($A153:$K153)=0,"",IF(OR($A153="",$B153="",$C153="",$D153="",$E153="",$F153="",$H153=""),"Incompleta",IF(OR(COUNTIF($A$5:$A$204,$A153)&gt;1,NOT(ISNUMBER($B153)),COUNTIF(Produtos!$A$4:$A$103,$C153)&lt;&gt;1,IFERROR(INDEX(Produtos!$K$4:$K$103,MATCH($C153,Produtos!$A$4:$A$103,0))&lt;&gt;"Ativo",TRUE),IFERROR(INDEX(Produtos!$L$4:$L$103,MATCH($C153,Produtos!$A$4:$A$103,0))&lt;&gt;"OK",TRUE),COUNTIF(Regras!$A$4:$A$103,$D153)&lt;&gt;1,IFERROR(INDEX(Regras!$O$4:$O$103,MATCH($D153,Regras!$A$4:$A$103,0))&lt;&gt;"Sim",TRUE),IFERROR(INDEX(Regras!$P$4:$P$103,MATCH($D153,Regras!$A$4:$A$103,0))&lt;&gt;"OK",TRUE),NOT(ISNUMBER($E153)),$E153&lt;=0,NOT(ISNUMBER($F153)),$F153&lt;0,$F153&gt;5,NOT(ISNUMBER($H153)),$H153&lt;0,$H153&lt;&gt;INT($H153),AND($G153&lt;&gt;"",OR(NOT(ISNUMBER($G153)),$G153&lt;=0))),"Revisar","Pronta")))</f>
        <v/>
      </c>
    </row>
    <row r="154">
      <c r="A154" s="16" t="n"/>
      <c r="B154" s="24" t="n"/>
      <c r="C154" s="16" t="n"/>
      <c r="D154" s="16" t="n"/>
      <c r="E154" s="17" t="n"/>
      <c r="F154" s="18" t="n"/>
      <c r="G154" s="17" t="n"/>
      <c r="H154" s="20" t="n"/>
      <c r="I154" s="16" t="n"/>
      <c r="J154" s="17" t="n"/>
      <c r="K154" s="25" t="n"/>
      <c r="L154" s="26">
        <f>IF($C154="","",IFERROR(INDEX(Produtos!$B$4:$B$103,MATCH($C154,Produtos!$A$4:$A$103,0)),""))</f>
        <v/>
      </c>
      <c r="M154" s="26">
        <f>IF($C154="","",IFERROR(INDEX(Produtos!$C$4:$C$103,MATCH($C154,Produtos!$A$4:$A$103,0)),""))</f>
        <v/>
      </c>
      <c r="N154" s="19">
        <f>IF($C154="","",IFERROR(INDEX(Produtos!$D$4:$D$103,MATCH($C154,Produtos!$A$4:$A$103,0)),""))</f>
        <v/>
      </c>
      <c r="O154" s="27">
        <f>IF($C154="","",IFERROR(INDEX(Produtos!$E$4:$E$103,MATCH($C154,Produtos!$A$4:$A$103,0)),""))</f>
        <v/>
      </c>
      <c r="P154" s="19">
        <f>IF($C154="","",IFERROR(INDEX(Produtos!$G$4:$G$103,MATCH($C154,Produtos!$A$4:$A$103,0)),""))</f>
        <v/>
      </c>
      <c r="Q154" s="19">
        <f>IF($C154="","",IFERROR(INDEX(Produtos!$H$4:$H$103,MATCH($C154,Produtos!$A$4:$A$103,0)),""))</f>
        <v/>
      </c>
      <c r="R154" s="19">
        <f>IF($C154="","",IFERROR(INDEX(Produtos!$I$4:$I$103,MATCH($C154,Produtos!$A$4:$A$103,0)),""))</f>
        <v/>
      </c>
      <c r="S154" s="28">
        <f>IF($C154="","",IFERROR(INDEX(Produtos!$J$4:$J$103,MATCH($C154,Produtos!$A$4:$A$103,0)),""))</f>
        <v/>
      </c>
      <c r="T154" s="27">
        <f>IF($AG154&lt;&gt;"Pronta","",IFERROR(IF($F154&lt;=INDEX(Regras!$C$4:$C$103,MATCH($D154,Regras!$A$4:$A$103,0)),INDEX(Regras!$E$4:$E$103,MATCH($D154,Regras!$A$4:$A$103,0)),IF($F154&gt;=INDEX(Regras!$D$4:$D$103,MATCH($D154,Regras!$A$4:$A$103,0)),INDEX(Regras!$F$4:$F$103,MATCH($D154,Regras!$A$4:$A$103,0)),0)),""))</f>
        <v/>
      </c>
      <c r="U154" s="27">
        <f>IF($AG154&lt;&gt;"Pronta","",IFERROR(IF($G154="",0,IF($G154&lt;=$E154*(1-INDEX(Regras!$G$4:$G$103,MATCH($D154,Regras!$A$4:$A$103,0))),INDEX(Regras!$H$4:$H$103,MATCH($D154,Regras!$A$4:$A$103,0)),IF($G154&gt;=$E154*(1+INDEX(Regras!$G$4:$G$103,MATCH($D154,Regras!$A$4:$A$103,0))),INDEX(Regras!$I$4:$I$103,MATCH($D154,Regras!$A$4:$A$103,0)),0))),""))</f>
        <v/>
      </c>
      <c r="V154" s="27">
        <f>IF($AG154&lt;&gt;"Pronta","",IFERROR(IF($H154/$S154&lt;=INDEX(Regras!$J$4:$J$103,MATCH($D154,Regras!$A$4:$A$103,0)),INDEX(Regras!$L$4:$L$103,MATCH($D154,Regras!$A$4:$A$103,0)),IF($H154/$S154&gt;=INDEX(Regras!$K$4:$K$103,MATCH($D154,Regras!$A$4:$A$103,0)),INDEX(Regras!$M$4:$M$103,MATCH($D154,Regras!$A$4:$A$103,0)),0)),""))</f>
        <v/>
      </c>
      <c r="W154" s="27">
        <f>IF($AG154&lt;&gt;"Pronta","",SUM($T154:$V154))</f>
        <v/>
      </c>
      <c r="X154" s="27">
        <f>IF($AG154&lt;&gt;"Pronta","",IFERROR(MAX(-INDEX(Regras!$N$4:$N$103,MATCH($D154,Regras!$A$4:$A$103,0)),MIN(INDEX(Regras!$N$4:$N$103,MATCH($D154,Regras!$A$4:$A$103,0)),$W154)),""))</f>
        <v/>
      </c>
      <c r="Y154" s="19">
        <f>IF($AG154&lt;&gt;"Pronta","",IFERROR(ROUND($E154*(1+$X154),2),""))</f>
        <v/>
      </c>
      <c r="Z154" s="29">
        <f>IF(OR($AG154&lt;&gt;"Pronta",$Q154="",$R154=""),"",IFERROR(ROUND(MIN($R154,MAX($Q154,$Y154)),2),""))</f>
        <v/>
      </c>
      <c r="AA154" s="27">
        <f>IF(OR($E154="",$Z154=""),"",IFERROR($Z154/$E154-1,""))</f>
        <v/>
      </c>
      <c r="AB154" s="26">
        <f>IF($Z154="","",IF($Y154&lt;$Q154,"Piso",IF($Y154&gt;$R154,"Teto","Nenhuma")))</f>
        <v/>
      </c>
      <c r="AC154" s="21">
        <f>IF($A154="","",IF($AG154&lt;&gt;"Pronta","Aguardando dados válidos",_xlfn.TEXTJOIN(" | ",TRUE,IF($T154&gt;0,"Demanda: aumento",IF($T154&lt;0,"Demanda: redução","")),IF($U154&gt;0,"Concorrência: aumento",IF($U154&lt;0,"Concorrência: redução","")),IF($V154&gt;0,"Estoque: aumento",IF($V154&lt;0,"Estoque: redução","")),IF(ABS($W154-$X154)&gt;0.0000001,"Limite da rodada aplicado",""),IF($AB154="Piso","Piso vigente aplicado",IF($AB154="Teto","Teto aplicado","")),IF(AND($T154=0,$U154=0,$V154=0),"Sem gatilho de reajuste",""))))</f>
        <v/>
      </c>
      <c r="AD154" s="21">
        <f>IF(OR($A154="",$AG154&lt;&gt;"Pronta"),"",_xlfn.TEXTJOIN(" | ",TRUE,IF($E154&lt;$Q154,"Preço atual abaixo do piso",""),IF($E154&gt;$R154,"Preço atual acima do teto",""),IF(AND($N154&gt;0,$E154&gt;0,1-$N154/$E154&lt;$O154),"Margem estimada do preço atual abaixo do mínimo",""),IF($G154="","Preço concorrente não informado",""),IF($AB154="Piso","Recomendação travada no piso",""),IF($AB154="Teto","Recomendação travada no teto","")))</f>
        <v/>
      </c>
      <c r="AE154" s="19">
        <f>IF($AG154&lt;&gt;"Pronta","",IF($I154="Aprovar recomendação",$Z154,IF($I154="Manter preço atual",$E154,IF($I154="Definir manualmente",$J154,""))))</f>
        <v/>
      </c>
      <c r="AF154" s="21">
        <f>IF($A154="","",IF($AG154&lt;&gt;"Pronta","Aguardando correção",IF(OR($I154="",$I154="Pendente"),"Decisão pendente",IF(AND($I154="Definir manualmente",OR($J154="",$J154&lt;=0)),"Informe o preço manual",IF(OR($AE154&lt;$Q154,$AE154&gt;$R154),"Preço final fora do piso/teto","OK")))))</f>
        <v/>
      </c>
      <c r="AG154" s="26">
        <f>IF(COUNTA($A154:$K154)=0,"",IF(OR($A154="",$B154="",$C154="",$D154="",$E154="",$F154="",$H154=""),"Incompleta",IF(OR(COUNTIF($A$5:$A$204,$A154)&gt;1,NOT(ISNUMBER($B154)),COUNTIF(Produtos!$A$4:$A$103,$C154)&lt;&gt;1,IFERROR(INDEX(Produtos!$K$4:$K$103,MATCH($C154,Produtos!$A$4:$A$103,0))&lt;&gt;"Ativo",TRUE),IFERROR(INDEX(Produtos!$L$4:$L$103,MATCH($C154,Produtos!$A$4:$A$103,0))&lt;&gt;"OK",TRUE),COUNTIF(Regras!$A$4:$A$103,$D154)&lt;&gt;1,IFERROR(INDEX(Regras!$O$4:$O$103,MATCH($D154,Regras!$A$4:$A$103,0))&lt;&gt;"Sim",TRUE),IFERROR(INDEX(Regras!$P$4:$P$103,MATCH($D154,Regras!$A$4:$A$103,0))&lt;&gt;"OK",TRUE),NOT(ISNUMBER($E154)),$E154&lt;=0,NOT(ISNUMBER($F154)),$F154&lt;0,$F154&gt;5,NOT(ISNUMBER($H154)),$H154&lt;0,$H154&lt;&gt;INT($H154),AND($G154&lt;&gt;"",OR(NOT(ISNUMBER($G154)),$G154&lt;=0))),"Revisar","Pronta")))</f>
        <v/>
      </c>
    </row>
    <row r="155">
      <c r="A155" s="16" t="n"/>
      <c r="B155" s="24" t="n"/>
      <c r="C155" s="16" t="n"/>
      <c r="D155" s="16" t="n"/>
      <c r="E155" s="17" t="n"/>
      <c r="F155" s="18" t="n"/>
      <c r="G155" s="17" t="n"/>
      <c r="H155" s="20" t="n"/>
      <c r="I155" s="16" t="n"/>
      <c r="J155" s="17" t="n"/>
      <c r="K155" s="25" t="n"/>
      <c r="L155" s="26">
        <f>IF($C155="","",IFERROR(INDEX(Produtos!$B$4:$B$103,MATCH($C155,Produtos!$A$4:$A$103,0)),""))</f>
        <v/>
      </c>
      <c r="M155" s="26">
        <f>IF($C155="","",IFERROR(INDEX(Produtos!$C$4:$C$103,MATCH($C155,Produtos!$A$4:$A$103,0)),""))</f>
        <v/>
      </c>
      <c r="N155" s="19">
        <f>IF($C155="","",IFERROR(INDEX(Produtos!$D$4:$D$103,MATCH($C155,Produtos!$A$4:$A$103,0)),""))</f>
        <v/>
      </c>
      <c r="O155" s="27">
        <f>IF($C155="","",IFERROR(INDEX(Produtos!$E$4:$E$103,MATCH($C155,Produtos!$A$4:$A$103,0)),""))</f>
        <v/>
      </c>
      <c r="P155" s="19">
        <f>IF($C155="","",IFERROR(INDEX(Produtos!$G$4:$G$103,MATCH($C155,Produtos!$A$4:$A$103,0)),""))</f>
        <v/>
      </c>
      <c r="Q155" s="19">
        <f>IF($C155="","",IFERROR(INDEX(Produtos!$H$4:$H$103,MATCH($C155,Produtos!$A$4:$A$103,0)),""))</f>
        <v/>
      </c>
      <c r="R155" s="19">
        <f>IF($C155="","",IFERROR(INDEX(Produtos!$I$4:$I$103,MATCH($C155,Produtos!$A$4:$A$103,0)),""))</f>
        <v/>
      </c>
      <c r="S155" s="28">
        <f>IF($C155="","",IFERROR(INDEX(Produtos!$J$4:$J$103,MATCH($C155,Produtos!$A$4:$A$103,0)),""))</f>
        <v/>
      </c>
      <c r="T155" s="27">
        <f>IF($AG155&lt;&gt;"Pronta","",IFERROR(IF($F155&lt;=INDEX(Regras!$C$4:$C$103,MATCH($D155,Regras!$A$4:$A$103,0)),INDEX(Regras!$E$4:$E$103,MATCH($D155,Regras!$A$4:$A$103,0)),IF($F155&gt;=INDEX(Regras!$D$4:$D$103,MATCH($D155,Regras!$A$4:$A$103,0)),INDEX(Regras!$F$4:$F$103,MATCH($D155,Regras!$A$4:$A$103,0)),0)),""))</f>
        <v/>
      </c>
      <c r="U155" s="27">
        <f>IF($AG155&lt;&gt;"Pronta","",IFERROR(IF($G155="",0,IF($G155&lt;=$E155*(1-INDEX(Regras!$G$4:$G$103,MATCH($D155,Regras!$A$4:$A$103,0))),INDEX(Regras!$H$4:$H$103,MATCH($D155,Regras!$A$4:$A$103,0)),IF($G155&gt;=$E155*(1+INDEX(Regras!$G$4:$G$103,MATCH($D155,Regras!$A$4:$A$103,0))),INDEX(Regras!$I$4:$I$103,MATCH($D155,Regras!$A$4:$A$103,0)),0))),""))</f>
        <v/>
      </c>
      <c r="V155" s="27">
        <f>IF($AG155&lt;&gt;"Pronta","",IFERROR(IF($H155/$S155&lt;=INDEX(Regras!$J$4:$J$103,MATCH($D155,Regras!$A$4:$A$103,0)),INDEX(Regras!$L$4:$L$103,MATCH($D155,Regras!$A$4:$A$103,0)),IF($H155/$S155&gt;=INDEX(Regras!$K$4:$K$103,MATCH($D155,Regras!$A$4:$A$103,0)),INDEX(Regras!$M$4:$M$103,MATCH($D155,Regras!$A$4:$A$103,0)),0)),""))</f>
        <v/>
      </c>
      <c r="W155" s="27">
        <f>IF($AG155&lt;&gt;"Pronta","",SUM($T155:$V155))</f>
        <v/>
      </c>
      <c r="X155" s="27">
        <f>IF($AG155&lt;&gt;"Pronta","",IFERROR(MAX(-INDEX(Regras!$N$4:$N$103,MATCH($D155,Regras!$A$4:$A$103,0)),MIN(INDEX(Regras!$N$4:$N$103,MATCH($D155,Regras!$A$4:$A$103,0)),$W155)),""))</f>
        <v/>
      </c>
      <c r="Y155" s="19">
        <f>IF($AG155&lt;&gt;"Pronta","",IFERROR(ROUND($E155*(1+$X155),2),""))</f>
        <v/>
      </c>
      <c r="Z155" s="29">
        <f>IF(OR($AG155&lt;&gt;"Pronta",$Q155="",$R155=""),"",IFERROR(ROUND(MIN($R155,MAX($Q155,$Y155)),2),""))</f>
        <v/>
      </c>
      <c r="AA155" s="27">
        <f>IF(OR($E155="",$Z155=""),"",IFERROR($Z155/$E155-1,""))</f>
        <v/>
      </c>
      <c r="AB155" s="26">
        <f>IF($Z155="","",IF($Y155&lt;$Q155,"Piso",IF($Y155&gt;$R155,"Teto","Nenhuma")))</f>
        <v/>
      </c>
      <c r="AC155" s="21">
        <f>IF($A155="","",IF($AG155&lt;&gt;"Pronta","Aguardando dados válidos",_xlfn.TEXTJOIN(" | ",TRUE,IF($T155&gt;0,"Demanda: aumento",IF($T155&lt;0,"Demanda: redução","")),IF($U155&gt;0,"Concorrência: aumento",IF($U155&lt;0,"Concorrência: redução","")),IF($V155&gt;0,"Estoque: aumento",IF($V155&lt;0,"Estoque: redução","")),IF(ABS($W155-$X155)&gt;0.0000001,"Limite da rodada aplicado",""),IF($AB155="Piso","Piso vigente aplicado",IF($AB155="Teto","Teto aplicado","")),IF(AND($T155=0,$U155=0,$V155=0),"Sem gatilho de reajuste",""))))</f>
        <v/>
      </c>
      <c r="AD155" s="21">
        <f>IF(OR($A155="",$AG155&lt;&gt;"Pronta"),"",_xlfn.TEXTJOIN(" | ",TRUE,IF($E155&lt;$Q155,"Preço atual abaixo do piso",""),IF($E155&gt;$R155,"Preço atual acima do teto",""),IF(AND($N155&gt;0,$E155&gt;0,1-$N155/$E155&lt;$O155),"Margem estimada do preço atual abaixo do mínimo",""),IF($G155="","Preço concorrente não informado",""),IF($AB155="Piso","Recomendação travada no piso",""),IF($AB155="Teto","Recomendação travada no teto","")))</f>
        <v/>
      </c>
      <c r="AE155" s="19">
        <f>IF($AG155&lt;&gt;"Pronta","",IF($I155="Aprovar recomendação",$Z155,IF($I155="Manter preço atual",$E155,IF($I155="Definir manualmente",$J155,""))))</f>
        <v/>
      </c>
      <c r="AF155" s="21">
        <f>IF($A155="","",IF($AG155&lt;&gt;"Pronta","Aguardando correção",IF(OR($I155="",$I155="Pendente"),"Decisão pendente",IF(AND($I155="Definir manualmente",OR($J155="",$J155&lt;=0)),"Informe o preço manual",IF(OR($AE155&lt;$Q155,$AE155&gt;$R155),"Preço final fora do piso/teto","OK")))))</f>
        <v/>
      </c>
      <c r="AG155" s="26">
        <f>IF(COUNTA($A155:$K155)=0,"",IF(OR($A155="",$B155="",$C155="",$D155="",$E155="",$F155="",$H155=""),"Incompleta",IF(OR(COUNTIF($A$5:$A$204,$A155)&gt;1,NOT(ISNUMBER($B155)),COUNTIF(Produtos!$A$4:$A$103,$C155)&lt;&gt;1,IFERROR(INDEX(Produtos!$K$4:$K$103,MATCH($C155,Produtos!$A$4:$A$103,0))&lt;&gt;"Ativo",TRUE),IFERROR(INDEX(Produtos!$L$4:$L$103,MATCH($C155,Produtos!$A$4:$A$103,0))&lt;&gt;"OK",TRUE),COUNTIF(Regras!$A$4:$A$103,$D155)&lt;&gt;1,IFERROR(INDEX(Regras!$O$4:$O$103,MATCH($D155,Regras!$A$4:$A$103,0))&lt;&gt;"Sim",TRUE),IFERROR(INDEX(Regras!$P$4:$P$103,MATCH($D155,Regras!$A$4:$A$103,0))&lt;&gt;"OK",TRUE),NOT(ISNUMBER($E155)),$E155&lt;=0,NOT(ISNUMBER($F155)),$F155&lt;0,$F155&gt;5,NOT(ISNUMBER($H155)),$H155&lt;0,$H155&lt;&gt;INT($H155),AND($G155&lt;&gt;"",OR(NOT(ISNUMBER($G155)),$G155&lt;=0))),"Revisar","Pronta")))</f>
        <v/>
      </c>
    </row>
    <row r="156">
      <c r="A156" s="16" t="n"/>
      <c r="B156" s="24" t="n"/>
      <c r="C156" s="16" t="n"/>
      <c r="D156" s="16" t="n"/>
      <c r="E156" s="17" t="n"/>
      <c r="F156" s="18" t="n"/>
      <c r="G156" s="17" t="n"/>
      <c r="H156" s="20" t="n"/>
      <c r="I156" s="16" t="n"/>
      <c r="J156" s="17" t="n"/>
      <c r="K156" s="25" t="n"/>
      <c r="L156" s="26">
        <f>IF($C156="","",IFERROR(INDEX(Produtos!$B$4:$B$103,MATCH($C156,Produtos!$A$4:$A$103,0)),""))</f>
        <v/>
      </c>
      <c r="M156" s="26">
        <f>IF($C156="","",IFERROR(INDEX(Produtos!$C$4:$C$103,MATCH($C156,Produtos!$A$4:$A$103,0)),""))</f>
        <v/>
      </c>
      <c r="N156" s="19">
        <f>IF($C156="","",IFERROR(INDEX(Produtos!$D$4:$D$103,MATCH($C156,Produtos!$A$4:$A$103,0)),""))</f>
        <v/>
      </c>
      <c r="O156" s="27">
        <f>IF($C156="","",IFERROR(INDEX(Produtos!$E$4:$E$103,MATCH($C156,Produtos!$A$4:$A$103,0)),""))</f>
        <v/>
      </c>
      <c r="P156" s="19">
        <f>IF($C156="","",IFERROR(INDEX(Produtos!$G$4:$G$103,MATCH($C156,Produtos!$A$4:$A$103,0)),""))</f>
        <v/>
      </c>
      <c r="Q156" s="19">
        <f>IF($C156="","",IFERROR(INDEX(Produtos!$H$4:$H$103,MATCH($C156,Produtos!$A$4:$A$103,0)),""))</f>
        <v/>
      </c>
      <c r="R156" s="19">
        <f>IF($C156="","",IFERROR(INDEX(Produtos!$I$4:$I$103,MATCH($C156,Produtos!$A$4:$A$103,0)),""))</f>
        <v/>
      </c>
      <c r="S156" s="28">
        <f>IF($C156="","",IFERROR(INDEX(Produtos!$J$4:$J$103,MATCH($C156,Produtos!$A$4:$A$103,0)),""))</f>
        <v/>
      </c>
      <c r="T156" s="27">
        <f>IF($AG156&lt;&gt;"Pronta","",IFERROR(IF($F156&lt;=INDEX(Regras!$C$4:$C$103,MATCH($D156,Regras!$A$4:$A$103,0)),INDEX(Regras!$E$4:$E$103,MATCH($D156,Regras!$A$4:$A$103,0)),IF($F156&gt;=INDEX(Regras!$D$4:$D$103,MATCH($D156,Regras!$A$4:$A$103,0)),INDEX(Regras!$F$4:$F$103,MATCH($D156,Regras!$A$4:$A$103,0)),0)),""))</f>
        <v/>
      </c>
      <c r="U156" s="27">
        <f>IF($AG156&lt;&gt;"Pronta","",IFERROR(IF($G156="",0,IF($G156&lt;=$E156*(1-INDEX(Regras!$G$4:$G$103,MATCH($D156,Regras!$A$4:$A$103,0))),INDEX(Regras!$H$4:$H$103,MATCH($D156,Regras!$A$4:$A$103,0)),IF($G156&gt;=$E156*(1+INDEX(Regras!$G$4:$G$103,MATCH($D156,Regras!$A$4:$A$103,0))),INDEX(Regras!$I$4:$I$103,MATCH($D156,Regras!$A$4:$A$103,0)),0))),""))</f>
        <v/>
      </c>
      <c r="V156" s="27">
        <f>IF($AG156&lt;&gt;"Pronta","",IFERROR(IF($H156/$S156&lt;=INDEX(Regras!$J$4:$J$103,MATCH($D156,Regras!$A$4:$A$103,0)),INDEX(Regras!$L$4:$L$103,MATCH($D156,Regras!$A$4:$A$103,0)),IF($H156/$S156&gt;=INDEX(Regras!$K$4:$K$103,MATCH($D156,Regras!$A$4:$A$103,0)),INDEX(Regras!$M$4:$M$103,MATCH($D156,Regras!$A$4:$A$103,0)),0)),""))</f>
        <v/>
      </c>
      <c r="W156" s="27">
        <f>IF($AG156&lt;&gt;"Pronta","",SUM($T156:$V156))</f>
        <v/>
      </c>
      <c r="X156" s="27">
        <f>IF($AG156&lt;&gt;"Pronta","",IFERROR(MAX(-INDEX(Regras!$N$4:$N$103,MATCH($D156,Regras!$A$4:$A$103,0)),MIN(INDEX(Regras!$N$4:$N$103,MATCH($D156,Regras!$A$4:$A$103,0)),$W156)),""))</f>
        <v/>
      </c>
      <c r="Y156" s="19">
        <f>IF($AG156&lt;&gt;"Pronta","",IFERROR(ROUND($E156*(1+$X156),2),""))</f>
        <v/>
      </c>
      <c r="Z156" s="29">
        <f>IF(OR($AG156&lt;&gt;"Pronta",$Q156="",$R156=""),"",IFERROR(ROUND(MIN($R156,MAX($Q156,$Y156)),2),""))</f>
        <v/>
      </c>
      <c r="AA156" s="27">
        <f>IF(OR($E156="",$Z156=""),"",IFERROR($Z156/$E156-1,""))</f>
        <v/>
      </c>
      <c r="AB156" s="26">
        <f>IF($Z156="","",IF($Y156&lt;$Q156,"Piso",IF($Y156&gt;$R156,"Teto","Nenhuma")))</f>
        <v/>
      </c>
      <c r="AC156" s="21">
        <f>IF($A156="","",IF($AG156&lt;&gt;"Pronta","Aguardando dados válidos",_xlfn.TEXTJOIN(" | ",TRUE,IF($T156&gt;0,"Demanda: aumento",IF($T156&lt;0,"Demanda: redução","")),IF($U156&gt;0,"Concorrência: aumento",IF($U156&lt;0,"Concorrência: redução","")),IF($V156&gt;0,"Estoque: aumento",IF($V156&lt;0,"Estoque: redução","")),IF(ABS($W156-$X156)&gt;0.0000001,"Limite da rodada aplicado",""),IF($AB156="Piso","Piso vigente aplicado",IF($AB156="Teto","Teto aplicado","")),IF(AND($T156=0,$U156=0,$V156=0),"Sem gatilho de reajuste",""))))</f>
        <v/>
      </c>
      <c r="AD156" s="21">
        <f>IF(OR($A156="",$AG156&lt;&gt;"Pronta"),"",_xlfn.TEXTJOIN(" | ",TRUE,IF($E156&lt;$Q156,"Preço atual abaixo do piso",""),IF($E156&gt;$R156,"Preço atual acima do teto",""),IF(AND($N156&gt;0,$E156&gt;0,1-$N156/$E156&lt;$O156),"Margem estimada do preço atual abaixo do mínimo",""),IF($G156="","Preço concorrente não informado",""),IF($AB156="Piso","Recomendação travada no piso",""),IF($AB156="Teto","Recomendação travada no teto","")))</f>
        <v/>
      </c>
      <c r="AE156" s="19">
        <f>IF($AG156&lt;&gt;"Pronta","",IF($I156="Aprovar recomendação",$Z156,IF($I156="Manter preço atual",$E156,IF($I156="Definir manualmente",$J156,""))))</f>
        <v/>
      </c>
      <c r="AF156" s="21">
        <f>IF($A156="","",IF($AG156&lt;&gt;"Pronta","Aguardando correção",IF(OR($I156="",$I156="Pendente"),"Decisão pendente",IF(AND($I156="Definir manualmente",OR($J156="",$J156&lt;=0)),"Informe o preço manual",IF(OR($AE156&lt;$Q156,$AE156&gt;$R156),"Preço final fora do piso/teto","OK")))))</f>
        <v/>
      </c>
      <c r="AG156" s="26">
        <f>IF(COUNTA($A156:$K156)=0,"",IF(OR($A156="",$B156="",$C156="",$D156="",$E156="",$F156="",$H156=""),"Incompleta",IF(OR(COUNTIF($A$5:$A$204,$A156)&gt;1,NOT(ISNUMBER($B156)),COUNTIF(Produtos!$A$4:$A$103,$C156)&lt;&gt;1,IFERROR(INDEX(Produtos!$K$4:$K$103,MATCH($C156,Produtos!$A$4:$A$103,0))&lt;&gt;"Ativo",TRUE),IFERROR(INDEX(Produtos!$L$4:$L$103,MATCH($C156,Produtos!$A$4:$A$103,0))&lt;&gt;"OK",TRUE),COUNTIF(Regras!$A$4:$A$103,$D156)&lt;&gt;1,IFERROR(INDEX(Regras!$O$4:$O$103,MATCH($D156,Regras!$A$4:$A$103,0))&lt;&gt;"Sim",TRUE),IFERROR(INDEX(Regras!$P$4:$P$103,MATCH($D156,Regras!$A$4:$A$103,0))&lt;&gt;"OK",TRUE),NOT(ISNUMBER($E156)),$E156&lt;=0,NOT(ISNUMBER($F156)),$F156&lt;0,$F156&gt;5,NOT(ISNUMBER($H156)),$H156&lt;0,$H156&lt;&gt;INT($H156),AND($G156&lt;&gt;"",OR(NOT(ISNUMBER($G156)),$G156&lt;=0))),"Revisar","Pronta")))</f>
        <v/>
      </c>
    </row>
    <row r="157">
      <c r="A157" s="16" t="n"/>
      <c r="B157" s="24" t="n"/>
      <c r="C157" s="16" t="n"/>
      <c r="D157" s="16" t="n"/>
      <c r="E157" s="17" t="n"/>
      <c r="F157" s="18" t="n"/>
      <c r="G157" s="17" t="n"/>
      <c r="H157" s="20" t="n"/>
      <c r="I157" s="16" t="n"/>
      <c r="J157" s="17" t="n"/>
      <c r="K157" s="25" t="n"/>
      <c r="L157" s="26">
        <f>IF($C157="","",IFERROR(INDEX(Produtos!$B$4:$B$103,MATCH($C157,Produtos!$A$4:$A$103,0)),""))</f>
        <v/>
      </c>
      <c r="M157" s="26">
        <f>IF($C157="","",IFERROR(INDEX(Produtos!$C$4:$C$103,MATCH($C157,Produtos!$A$4:$A$103,0)),""))</f>
        <v/>
      </c>
      <c r="N157" s="19">
        <f>IF($C157="","",IFERROR(INDEX(Produtos!$D$4:$D$103,MATCH($C157,Produtos!$A$4:$A$103,0)),""))</f>
        <v/>
      </c>
      <c r="O157" s="27">
        <f>IF($C157="","",IFERROR(INDEX(Produtos!$E$4:$E$103,MATCH($C157,Produtos!$A$4:$A$103,0)),""))</f>
        <v/>
      </c>
      <c r="P157" s="19">
        <f>IF($C157="","",IFERROR(INDEX(Produtos!$G$4:$G$103,MATCH($C157,Produtos!$A$4:$A$103,0)),""))</f>
        <v/>
      </c>
      <c r="Q157" s="19">
        <f>IF($C157="","",IFERROR(INDEX(Produtos!$H$4:$H$103,MATCH($C157,Produtos!$A$4:$A$103,0)),""))</f>
        <v/>
      </c>
      <c r="R157" s="19">
        <f>IF($C157="","",IFERROR(INDEX(Produtos!$I$4:$I$103,MATCH($C157,Produtos!$A$4:$A$103,0)),""))</f>
        <v/>
      </c>
      <c r="S157" s="28">
        <f>IF($C157="","",IFERROR(INDEX(Produtos!$J$4:$J$103,MATCH($C157,Produtos!$A$4:$A$103,0)),""))</f>
        <v/>
      </c>
      <c r="T157" s="27">
        <f>IF($AG157&lt;&gt;"Pronta","",IFERROR(IF($F157&lt;=INDEX(Regras!$C$4:$C$103,MATCH($D157,Regras!$A$4:$A$103,0)),INDEX(Regras!$E$4:$E$103,MATCH($D157,Regras!$A$4:$A$103,0)),IF($F157&gt;=INDEX(Regras!$D$4:$D$103,MATCH($D157,Regras!$A$4:$A$103,0)),INDEX(Regras!$F$4:$F$103,MATCH($D157,Regras!$A$4:$A$103,0)),0)),""))</f>
        <v/>
      </c>
      <c r="U157" s="27">
        <f>IF($AG157&lt;&gt;"Pronta","",IFERROR(IF($G157="",0,IF($G157&lt;=$E157*(1-INDEX(Regras!$G$4:$G$103,MATCH($D157,Regras!$A$4:$A$103,0))),INDEX(Regras!$H$4:$H$103,MATCH($D157,Regras!$A$4:$A$103,0)),IF($G157&gt;=$E157*(1+INDEX(Regras!$G$4:$G$103,MATCH($D157,Regras!$A$4:$A$103,0))),INDEX(Regras!$I$4:$I$103,MATCH($D157,Regras!$A$4:$A$103,0)),0))),""))</f>
        <v/>
      </c>
      <c r="V157" s="27">
        <f>IF($AG157&lt;&gt;"Pronta","",IFERROR(IF($H157/$S157&lt;=INDEX(Regras!$J$4:$J$103,MATCH($D157,Regras!$A$4:$A$103,0)),INDEX(Regras!$L$4:$L$103,MATCH($D157,Regras!$A$4:$A$103,0)),IF($H157/$S157&gt;=INDEX(Regras!$K$4:$K$103,MATCH($D157,Regras!$A$4:$A$103,0)),INDEX(Regras!$M$4:$M$103,MATCH($D157,Regras!$A$4:$A$103,0)),0)),""))</f>
        <v/>
      </c>
      <c r="W157" s="27">
        <f>IF($AG157&lt;&gt;"Pronta","",SUM($T157:$V157))</f>
        <v/>
      </c>
      <c r="X157" s="27">
        <f>IF($AG157&lt;&gt;"Pronta","",IFERROR(MAX(-INDEX(Regras!$N$4:$N$103,MATCH($D157,Regras!$A$4:$A$103,0)),MIN(INDEX(Regras!$N$4:$N$103,MATCH($D157,Regras!$A$4:$A$103,0)),$W157)),""))</f>
        <v/>
      </c>
      <c r="Y157" s="19">
        <f>IF($AG157&lt;&gt;"Pronta","",IFERROR(ROUND($E157*(1+$X157),2),""))</f>
        <v/>
      </c>
      <c r="Z157" s="29">
        <f>IF(OR($AG157&lt;&gt;"Pronta",$Q157="",$R157=""),"",IFERROR(ROUND(MIN($R157,MAX($Q157,$Y157)),2),""))</f>
        <v/>
      </c>
      <c r="AA157" s="27">
        <f>IF(OR($E157="",$Z157=""),"",IFERROR($Z157/$E157-1,""))</f>
        <v/>
      </c>
      <c r="AB157" s="26">
        <f>IF($Z157="","",IF($Y157&lt;$Q157,"Piso",IF($Y157&gt;$R157,"Teto","Nenhuma")))</f>
        <v/>
      </c>
      <c r="AC157" s="21">
        <f>IF($A157="","",IF($AG157&lt;&gt;"Pronta","Aguardando dados válidos",_xlfn.TEXTJOIN(" | ",TRUE,IF($T157&gt;0,"Demanda: aumento",IF($T157&lt;0,"Demanda: redução","")),IF($U157&gt;0,"Concorrência: aumento",IF($U157&lt;0,"Concorrência: redução","")),IF($V157&gt;0,"Estoque: aumento",IF($V157&lt;0,"Estoque: redução","")),IF(ABS($W157-$X157)&gt;0.0000001,"Limite da rodada aplicado",""),IF($AB157="Piso","Piso vigente aplicado",IF($AB157="Teto","Teto aplicado","")),IF(AND($T157=0,$U157=0,$V157=0),"Sem gatilho de reajuste",""))))</f>
        <v/>
      </c>
      <c r="AD157" s="21">
        <f>IF(OR($A157="",$AG157&lt;&gt;"Pronta"),"",_xlfn.TEXTJOIN(" | ",TRUE,IF($E157&lt;$Q157,"Preço atual abaixo do piso",""),IF($E157&gt;$R157,"Preço atual acima do teto",""),IF(AND($N157&gt;0,$E157&gt;0,1-$N157/$E157&lt;$O157),"Margem estimada do preço atual abaixo do mínimo",""),IF($G157="","Preço concorrente não informado",""),IF($AB157="Piso","Recomendação travada no piso",""),IF($AB157="Teto","Recomendação travada no teto","")))</f>
        <v/>
      </c>
      <c r="AE157" s="19">
        <f>IF($AG157&lt;&gt;"Pronta","",IF($I157="Aprovar recomendação",$Z157,IF($I157="Manter preço atual",$E157,IF($I157="Definir manualmente",$J157,""))))</f>
        <v/>
      </c>
      <c r="AF157" s="21">
        <f>IF($A157="","",IF($AG157&lt;&gt;"Pronta","Aguardando correção",IF(OR($I157="",$I157="Pendente"),"Decisão pendente",IF(AND($I157="Definir manualmente",OR($J157="",$J157&lt;=0)),"Informe o preço manual",IF(OR($AE157&lt;$Q157,$AE157&gt;$R157),"Preço final fora do piso/teto","OK")))))</f>
        <v/>
      </c>
      <c r="AG157" s="26">
        <f>IF(COUNTA($A157:$K157)=0,"",IF(OR($A157="",$B157="",$C157="",$D157="",$E157="",$F157="",$H157=""),"Incompleta",IF(OR(COUNTIF($A$5:$A$204,$A157)&gt;1,NOT(ISNUMBER($B157)),COUNTIF(Produtos!$A$4:$A$103,$C157)&lt;&gt;1,IFERROR(INDEX(Produtos!$K$4:$K$103,MATCH($C157,Produtos!$A$4:$A$103,0))&lt;&gt;"Ativo",TRUE),IFERROR(INDEX(Produtos!$L$4:$L$103,MATCH($C157,Produtos!$A$4:$A$103,0))&lt;&gt;"OK",TRUE),COUNTIF(Regras!$A$4:$A$103,$D157)&lt;&gt;1,IFERROR(INDEX(Regras!$O$4:$O$103,MATCH($D157,Regras!$A$4:$A$103,0))&lt;&gt;"Sim",TRUE),IFERROR(INDEX(Regras!$P$4:$P$103,MATCH($D157,Regras!$A$4:$A$103,0))&lt;&gt;"OK",TRUE),NOT(ISNUMBER($E157)),$E157&lt;=0,NOT(ISNUMBER($F157)),$F157&lt;0,$F157&gt;5,NOT(ISNUMBER($H157)),$H157&lt;0,$H157&lt;&gt;INT($H157),AND($G157&lt;&gt;"",OR(NOT(ISNUMBER($G157)),$G157&lt;=0))),"Revisar","Pronta")))</f>
        <v/>
      </c>
    </row>
    <row r="158">
      <c r="A158" s="16" t="n"/>
      <c r="B158" s="24" t="n"/>
      <c r="C158" s="16" t="n"/>
      <c r="D158" s="16" t="n"/>
      <c r="E158" s="17" t="n"/>
      <c r="F158" s="18" t="n"/>
      <c r="G158" s="17" t="n"/>
      <c r="H158" s="20" t="n"/>
      <c r="I158" s="16" t="n"/>
      <c r="J158" s="17" t="n"/>
      <c r="K158" s="25" t="n"/>
      <c r="L158" s="26">
        <f>IF($C158="","",IFERROR(INDEX(Produtos!$B$4:$B$103,MATCH($C158,Produtos!$A$4:$A$103,0)),""))</f>
        <v/>
      </c>
      <c r="M158" s="26">
        <f>IF($C158="","",IFERROR(INDEX(Produtos!$C$4:$C$103,MATCH($C158,Produtos!$A$4:$A$103,0)),""))</f>
        <v/>
      </c>
      <c r="N158" s="19">
        <f>IF($C158="","",IFERROR(INDEX(Produtos!$D$4:$D$103,MATCH($C158,Produtos!$A$4:$A$103,0)),""))</f>
        <v/>
      </c>
      <c r="O158" s="27">
        <f>IF($C158="","",IFERROR(INDEX(Produtos!$E$4:$E$103,MATCH($C158,Produtos!$A$4:$A$103,0)),""))</f>
        <v/>
      </c>
      <c r="P158" s="19">
        <f>IF($C158="","",IFERROR(INDEX(Produtos!$G$4:$G$103,MATCH($C158,Produtos!$A$4:$A$103,0)),""))</f>
        <v/>
      </c>
      <c r="Q158" s="19">
        <f>IF($C158="","",IFERROR(INDEX(Produtos!$H$4:$H$103,MATCH($C158,Produtos!$A$4:$A$103,0)),""))</f>
        <v/>
      </c>
      <c r="R158" s="19">
        <f>IF($C158="","",IFERROR(INDEX(Produtos!$I$4:$I$103,MATCH($C158,Produtos!$A$4:$A$103,0)),""))</f>
        <v/>
      </c>
      <c r="S158" s="28">
        <f>IF($C158="","",IFERROR(INDEX(Produtos!$J$4:$J$103,MATCH($C158,Produtos!$A$4:$A$103,0)),""))</f>
        <v/>
      </c>
      <c r="T158" s="27">
        <f>IF($AG158&lt;&gt;"Pronta","",IFERROR(IF($F158&lt;=INDEX(Regras!$C$4:$C$103,MATCH($D158,Regras!$A$4:$A$103,0)),INDEX(Regras!$E$4:$E$103,MATCH($D158,Regras!$A$4:$A$103,0)),IF($F158&gt;=INDEX(Regras!$D$4:$D$103,MATCH($D158,Regras!$A$4:$A$103,0)),INDEX(Regras!$F$4:$F$103,MATCH($D158,Regras!$A$4:$A$103,0)),0)),""))</f>
        <v/>
      </c>
      <c r="U158" s="27">
        <f>IF($AG158&lt;&gt;"Pronta","",IFERROR(IF($G158="",0,IF($G158&lt;=$E158*(1-INDEX(Regras!$G$4:$G$103,MATCH($D158,Regras!$A$4:$A$103,0))),INDEX(Regras!$H$4:$H$103,MATCH($D158,Regras!$A$4:$A$103,0)),IF($G158&gt;=$E158*(1+INDEX(Regras!$G$4:$G$103,MATCH($D158,Regras!$A$4:$A$103,0))),INDEX(Regras!$I$4:$I$103,MATCH($D158,Regras!$A$4:$A$103,0)),0))),""))</f>
        <v/>
      </c>
      <c r="V158" s="27">
        <f>IF($AG158&lt;&gt;"Pronta","",IFERROR(IF($H158/$S158&lt;=INDEX(Regras!$J$4:$J$103,MATCH($D158,Regras!$A$4:$A$103,0)),INDEX(Regras!$L$4:$L$103,MATCH($D158,Regras!$A$4:$A$103,0)),IF($H158/$S158&gt;=INDEX(Regras!$K$4:$K$103,MATCH($D158,Regras!$A$4:$A$103,0)),INDEX(Regras!$M$4:$M$103,MATCH($D158,Regras!$A$4:$A$103,0)),0)),""))</f>
        <v/>
      </c>
      <c r="W158" s="27">
        <f>IF($AG158&lt;&gt;"Pronta","",SUM($T158:$V158))</f>
        <v/>
      </c>
      <c r="X158" s="27">
        <f>IF($AG158&lt;&gt;"Pronta","",IFERROR(MAX(-INDEX(Regras!$N$4:$N$103,MATCH($D158,Regras!$A$4:$A$103,0)),MIN(INDEX(Regras!$N$4:$N$103,MATCH($D158,Regras!$A$4:$A$103,0)),$W158)),""))</f>
        <v/>
      </c>
      <c r="Y158" s="19">
        <f>IF($AG158&lt;&gt;"Pronta","",IFERROR(ROUND($E158*(1+$X158),2),""))</f>
        <v/>
      </c>
      <c r="Z158" s="29">
        <f>IF(OR($AG158&lt;&gt;"Pronta",$Q158="",$R158=""),"",IFERROR(ROUND(MIN($R158,MAX($Q158,$Y158)),2),""))</f>
        <v/>
      </c>
      <c r="AA158" s="27">
        <f>IF(OR($E158="",$Z158=""),"",IFERROR($Z158/$E158-1,""))</f>
        <v/>
      </c>
      <c r="AB158" s="26">
        <f>IF($Z158="","",IF($Y158&lt;$Q158,"Piso",IF($Y158&gt;$R158,"Teto","Nenhuma")))</f>
        <v/>
      </c>
      <c r="AC158" s="21">
        <f>IF($A158="","",IF($AG158&lt;&gt;"Pronta","Aguardando dados válidos",_xlfn.TEXTJOIN(" | ",TRUE,IF($T158&gt;0,"Demanda: aumento",IF($T158&lt;0,"Demanda: redução","")),IF($U158&gt;0,"Concorrência: aumento",IF($U158&lt;0,"Concorrência: redução","")),IF($V158&gt;0,"Estoque: aumento",IF($V158&lt;0,"Estoque: redução","")),IF(ABS($W158-$X158)&gt;0.0000001,"Limite da rodada aplicado",""),IF($AB158="Piso","Piso vigente aplicado",IF($AB158="Teto","Teto aplicado","")),IF(AND($T158=0,$U158=0,$V158=0),"Sem gatilho de reajuste",""))))</f>
        <v/>
      </c>
      <c r="AD158" s="21">
        <f>IF(OR($A158="",$AG158&lt;&gt;"Pronta"),"",_xlfn.TEXTJOIN(" | ",TRUE,IF($E158&lt;$Q158,"Preço atual abaixo do piso",""),IF($E158&gt;$R158,"Preço atual acima do teto",""),IF(AND($N158&gt;0,$E158&gt;0,1-$N158/$E158&lt;$O158),"Margem estimada do preço atual abaixo do mínimo",""),IF($G158="","Preço concorrente não informado",""),IF($AB158="Piso","Recomendação travada no piso",""),IF($AB158="Teto","Recomendação travada no teto","")))</f>
        <v/>
      </c>
      <c r="AE158" s="19">
        <f>IF($AG158&lt;&gt;"Pronta","",IF($I158="Aprovar recomendação",$Z158,IF($I158="Manter preço atual",$E158,IF($I158="Definir manualmente",$J158,""))))</f>
        <v/>
      </c>
      <c r="AF158" s="21">
        <f>IF($A158="","",IF($AG158&lt;&gt;"Pronta","Aguardando correção",IF(OR($I158="",$I158="Pendente"),"Decisão pendente",IF(AND($I158="Definir manualmente",OR($J158="",$J158&lt;=0)),"Informe o preço manual",IF(OR($AE158&lt;$Q158,$AE158&gt;$R158),"Preço final fora do piso/teto","OK")))))</f>
        <v/>
      </c>
      <c r="AG158" s="26">
        <f>IF(COUNTA($A158:$K158)=0,"",IF(OR($A158="",$B158="",$C158="",$D158="",$E158="",$F158="",$H158=""),"Incompleta",IF(OR(COUNTIF($A$5:$A$204,$A158)&gt;1,NOT(ISNUMBER($B158)),COUNTIF(Produtos!$A$4:$A$103,$C158)&lt;&gt;1,IFERROR(INDEX(Produtos!$K$4:$K$103,MATCH($C158,Produtos!$A$4:$A$103,0))&lt;&gt;"Ativo",TRUE),IFERROR(INDEX(Produtos!$L$4:$L$103,MATCH($C158,Produtos!$A$4:$A$103,0))&lt;&gt;"OK",TRUE),COUNTIF(Regras!$A$4:$A$103,$D158)&lt;&gt;1,IFERROR(INDEX(Regras!$O$4:$O$103,MATCH($D158,Regras!$A$4:$A$103,0))&lt;&gt;"Sim",TRUE),IFERROR(INDEX(Regras!$P$4:$P$103,MATCH($D158,Regras!$A$4:$A$103,0))&lt;&gt;"OK",TRUE),NOT(ISNUMBER($E158)),$E158&lt;=0,NOT(ISNUMBER($F158)),$F158&lt;0,$F158&gt;5,NOT(ISNUMBER($H158)),$H158&lt;0,$H158&lt;&gt;INT($H158),AND($G158&lt;&gt;"",OR(NOT(ISNUMBER($G158)),$G158&lt;=0))),"Revisar","Pronta")))</f>
        <v/>
      </c>
    </row>
    <row r="159">
      <c r="A159" s="16" t="n"/>
      <c r="B159" s="24" t="n"/>
      <c r="C159" s="16" t="n"/>
      <c r="D159" s="16" t="n"/>
      <c r="E159" s="17" t="n"/>
      <c r="F159" s="18" t="n"/>
      <c r="G159" s="17" t="n"/>
      <c r="H159" s="20" t="n"/>
      <c r="I159" s="16" t="n"/>
      <c r="J159" s="17" t="n"/>
      <c r="K159" s="25" t="n"/>
      <c r="L159" s="26">
        <f>IF($C159="","",IFERROR(INDEX(Produtos!$B$4:$B$103,MATCH($C159,Produtos!$A$4:$A$103,0)),""))</f>
        <v/>
      </c>
      <c r="M159" s="26">
        <f>IF($C159="","",IFERROR(INDEX(Produtos!$C$4:$C$103,MATCH($C159,Produtos!$A$4:$A$103,0)),""))</f>
        <v/>
      </c>
      <c r="N159" s="19">
        <f>IF($C159="","",IFERROR(INDEX(Produtos!$D$4:$D$103,MATCH($C159,Produtos!$A$4:$A$103,0)),""))</f>
        <v/>
      </c>
      <c r="O159" s="27">
        <f>IF($C159="","",IFERROR(INDEX(Produtos!$E$4:$E$103,MATCH($C159,Produtos!$A$4:$A$103,0)),""))</f>
        <v/>
      </c>
      <c r="P159" s="19">
        <f>IF($C159="","",IFERROR(INDEX(Produtos!$G$4:$G$103,MATCH($C159,Produtos!$A$4:$A$103,0)),""))</f>
        <v/>
      </c>
      <c r="Q159" s="19">
        <f>IF($C159="","",IFERROR(INDEX(Produtos!$H$4:$H$103,MATCH($C159,Produtos!$A$4:$A$103,0)),""))</f>
        <v/>
      </c>
      <c r="R159" s="19">
        <f>IF($C159="","",IFERROR(INDEX(Produtos!$I$4:$I$103,MATCH($C159,Produtos!$A$4:$A$103,0)),""))</f>
        <v/>
      </c>
      <c r="S159" s="28">
        <f>IF($C159="","",IFERROR(INDEX(Produtos!$J$4:$J$103,MATCH($C159,Produtos!$A$4:$A$103,0)),""))</f>
        <v/>
      </c>
      <c r="T159" s="27">
        <f>IF($AG159&lt;&gt;"Pronta","",IFERROR(IF($F159&lt;=INDEX(Regras!$C$4:$C$103,MATCH($D159,Regras!$A$4:$A$103,0)),INDEX(Regras!$E$4:$E$103,MATCH($D159,Regras!$A$4:$A$103,0)),IF($F159&gt;=INDEX(Regras!$D$4:$D$103,MATCH($D159,Regras!$A$4:$A$103,0)),INDEX(Regras!$F$4:$F$103,MATCH($D159,Regras!$A$4:$A$103,0)),0)),""))</f>
        <v/>
      </c>
      <c r="U159" s="27">
        <f>IF($AG159&lt;&gt;"Pronta","",IFERROR(IF($G159="",0,IF($G159&lt;=$E159*(1-INDEX(Regras!$G$4:$G$103,MATCH($D159,Regras!$A$4:$A$103,0))),INDEX(Regras!$H$4:$H$103,MATCH($D159,Regras!$A$4:$A$103,0)),IF($G159&gt;=$E159*(1+INDEX(Regras!$G$4:$G$103,MATCH($D159,Regras!$A$4:$A$103,0))),INDEX(Regras!$I$4:$I$103,MATCH($D159,Regras!$A$4:$A$103,0)),0))),""))</f>
        <v/>
      </c>
      <c r="V159" s="27">
        <f>IF($AG159&lt;&gt;"Pronta","",IFERROR(IF($H159/$S159&lt;=INDEX(Regras!$J$4:$J$103,MATCH($D159,Regras!$A$4:$A$103,0)),INDEX(Regras!$L$4:$L$103,MATCH($D159,Regras!$A$4:$A$103,0)),IF($H159/$S159&gt;=INDEX(Regras!$K$4:$K$103,MATCH($D159,Regras!$A$4:$A$103,0)),INDEX(Regras!$M$4:$M$103,MATCH($D159,Regras!$A$4:$A$103,0)),0)),""))</f>
        <v/>
      </c>
      <c r="W159" s="27">
        <f>IF($AG159&lt;&gt;"Pronta","",SUM($T159:$V159))</f>
        <v/>
      </c>
      <c r="X159" s="27">
        <f>IF($AG159&lt;&gt;"Pronta","",IFERROR(MAX(-INDEX(Regras!$N$4:$N$103,MATCH($D159,Regras!$A$4:$A$103,0)),MIN(INDEX(Regras!$N$4:$N$103,MATCH($D159,Regras!$A$4:$A$103,0)),$W159)),""))</f>
        <v/>
      </c>
      <c r="Y159" s="19">
        <f>IF($AG159&lt;&gt;"Pronta","",IFERROR(ROUND($E159*(1+$X159),2),""))</f>
        <v/>
      </c>
      <c r="Z159" s="29">
        <f>IF(OR($AG159&lt;&gt;"Pronta",$Q159="",$R159=""),"",IFERROR(ROUND(MIN($R159,MAX($Q159,$Y159)),2),""))</f>
        <v/>
      </c>
      <c r="AA159" s="27">
        <f>IF(OR($E159="",$Z159=""),"",IFERROR($Z159/$E159-1,""))</f>
        <v/>
      </c>
      <c r="AB159" s="26">
        <f>IF($Z159="","",IF($Y159&lt;$Q159,"Piso",IF($Y159&gt;$R159,"Teto","Nenhuma")))</f>
        <v/>
      </c>
      <c r="AC159" s="21">
        <f>IF($A159="","",IF($AG159&lt;&gt;"Pronta","Aguardando dados válidos",_xlfn.TEXTJOIN(" | ",TRUE,IF($T159&gt;0,"Demanda: aumento",IF($T159&lt;0,"Demanda: redução","")),IF($U159&gt;0,"Concorrência: aumento",IF($U159&lt;0,"Concorrência: redução","")),IF($V159&gt;0,"Estoque: aumento",IF($V159&lt;0,"Estoque: redução","")),IF(ABS($W159-$X159)&gt;0.0000001,"Limite da rodada aplicado",""),IF($AB159="Piso","Piso vigente aplicado",IF($AB159="Teto","Teto aplicado","")),IF(AND($T159=0,$U159=0,$V159=0),"Sem gatilho de reajuste",""))))</f>
        <v/>
      </c>
      <c r="AD159" s="21">
        <f>IF(OR($A159="",$AG159&lt;&gt;"Pronta"),"",_xlfn.TEXTJOIN(" | ",TRUE,IF($E159&lt;$Q159,"Preço atual abaixo do piso",""),IF($E159&gt;$R159,"Preço atual acima do teto",""),IF(AND($N159&gt;0,$E159&gt;0,1-$N159/$E159&lt;$O159),"Margem estimada do preço atual abaixo do mínimo",""),IF($G159="","Preço concorrente não informado",""),IF($AB159="Piso","Recomendação travada no piso",""),IF($AB159="Teto","Recomendação travada no teto","")))</f>
        <v/>
      </c>
      <c r="AE159" s="19">
        <f>IF($AG159&lt;&gt;"Pronta","",IF($I159="Aprovar recomendação",$Z159,IF($I159="Manter preço atual",$E159,IF($I159="Definir manualmente",$J159,""))))</f>
        <v/>
      </c>
      <c r="AF159" s="21">
        <f>IF($A159="","",IF($AG159&lt;&gt;"Pronta","Aguardando correção",IF(OR($I159="",$I159="Pendente"),"Decisão pendente",IF(AND($I159="Definir manualmente",OR($J159="",$J159&lt;=0)),"Informe o preço manual",IF(OR($AE159&lt;$Q159,$AE159&gt;$R159),"Preço final fora do piso/teto","OK")))))</f>
        <v/>
      </c>
      <c r="AG159" s="26">
        <f>IF(COUNTA($A159:$K159)=0,"",IF(OR($A159="",$B159="",$C159="",$D159="",$E159="",$F159="",$H159=""),"Incompleta",IF(OR(COUNTIF($A$5:$A$204,$A159)&gt;1,NOT(ISNUMBER($B159)),COUNTIF(Produtos!$A$4:$A$103,$C159)&lt;&gt;1,IFERROR(INDEX(Produtos!$K$4:$K$103,MATCH($C159,Produtos!$A$4:$A$103,0))&lt;&gt;"Ativo",TRUE),IFERROR(INDEX(Produtos!$L$4:$L$103,MATCH($C159,Produtos!$A$4:$A$103,0))&lt;&gt;"OK",TRUE),COUNTIF(Regras!$A$4:$A$103,$D159)&lt;&gt;1,IFERROR(INDEX(Regras!$O$4:$O$103,MATCH($D159,Regras!$A$4:$A$103,0))&lt;&gt;"Sim",TRUE),IFERROR(INDEX(Regras!$P$4:$P$103,MATCH($D159,Regras!$A$4:$A$103,0))&lt;&gt;"OK",TRUE),NOT(ISNUMBER($E159)),$E159&lt;=0,NOT(ISNUMBER($F159)),$F159&lt;0,$F159&gt;5,NOT(ISNUMBER($H159)),$H159&lt;0,$H159&lt;&gt;INT($H159),AND($G159&lt;&gt;"",OR(NOT(ISNUMBER($G159)),$G159&lt;=0))),"Revisar","Pronta")))</f>
        <v/>
      </c>
    </row>
    <row r="160">
      <c r="A160" s="16" t="n"/>
      <c r="B160" s="24" t="n"/>
      <c r="C160" s="16" t="n"/>
      <c r="D160" s="16" t="n"/>
      <c r="E160" s="17" t="n"/>
      <c r="F160" s="18" t="n"/>
      <c r="G160" s="17" t="n"/>
      <c r="H160" s="20" t="n"/>
      <c r="I160" s="16" t="n"/>
      <c r="J160" s="17" t="n"/>
      <c r="K160" s="25" t="n"/>
      <c r="L160" s="26">
        <f>IF($C160="","",IFERROR(INDEX(Produtos!$B$4:$B$103,MATCH($C160,Produtos!$A$4:$A$103,0)),""))</f>
        <v/>
      </c>
      <c r="M160" s="26">
        <f>IF($C160="","",IFERROR(INDEX(Produtos!$C$4:$C$103,MATCH($C160,Produtos!$A$4:$A$103,0)),""))</f>
        <v/>
      </c>
      <c r="N160" s="19">
        <f>IF($C160="","",IFERROR(INDEX(Produtos!$D$4:$D$103,MATCH($C160,Produtos!$A$4:$A$103,0)),""))</f>
        <v/>
      </c>
      <c r="O160" s="27">
        <f>IF($C160="","",IFERROR(INDEX(Produtos!$E$4:$E$103,MATCH($C160,Produtos!$A$4:$A$103,0)),""))</f>
        <v/>
      </c>
      <c r="P160" s="19">
        <f>IF($C160="","",IFERROR(INDEX(Produtos!$G$4:$G$103,MATCH($C160,Produtos!$A$4:$A$103,0)),""))</f>
        <v/>
      </c>
      <c r="Q160" s="19">
        <f>IF($C160="","",IFERROR(INDEX(Produtos!$H$4:$H$103,MATCH($C160,Produtos!$A$4:$A$103,0)),""))</f>
        <v/>
      </c>
      <c r="R160" s="19">
        <f>IF($C160="","",IFERROR(INDEX(Produtos!$I$4:$I$103,MATCH($C160,Produtos!$A$4:$A$103,0)),""))</f>
        <v/>
      </c>
      <c r="S160" s="28">
        <f>IF($C160="","",IFERROR(INDEX(Produtos!$J$4:$J$103,MATCH($C160,Produtos!$A$4:$A$103,0)),""))</f>
        <v/>
      </c>
      <c r="T160" s="27">
        <f>IF($AG160&lt;&gt;"Pronta","",IFERROR(IF($F160&lt;=INDEX(Regras!$C$4:$C$103,MATCH($D160,Regras!$A$4:$A$103,0)),INDEX(Regras!$E$4:$E$103,MATCH($D160,Regras!$A$4:$A$103,0)),IF($F160&gt;=INDEX(Regras!$D$4:$D$103,MATCH($D160,Regras!$A$4:$A$103,0)),INDEX(Regras!$F$4:$F$103,MATCH($D160,Regras!$A$4:$A$103,0)),0)),""))</f>
        <v/>
      </c>
      <c r="U160" s="27">
        <f>IF($AG160&lt;&gt;"Pronta","",IFERROR(IF($G160="",0,IF($G160&lt;=$E160*(1-INDEX(Regras!$G$4:$G$103,MATCH($D160,Regras!$A$4:$A$103,0))),INDEX(Regras!$H$4:$H$103,MATCH($D160,Regras!$A$4:$A$103,0)),IF($G160&gt;=$E160*(1+INDEX(Regras!$G$4:$G$103,MATCH($D160,Regras!$A$4:$A$103,0))),INDEX(Regras!$I$4:$I$103,MATCH($D160,Regras!$A$4:$A$103,0)),0))),""))</f>
        <v/>
      </c>
      <c r="V160" s="27">
        <f>IF($AG160&lt;&gt;"Pronta","",IFERROR(IF($H160/$S160&lt;=INDEX(Regras!$J$4:$J$103,MATCH($D160,Regras!$A$4:$A$103,0)),INDEX(Regras!$L$4:$L$103,MATCH($D160,Regras!$A$4:$A$103,0)),IF($H160/$S160&gt;=INDEX(Regras!$K$4:$K$103,MATCH($D160,Regras!$A$4:$A$103,0)),INDEX(Regras!$M$4:$M$103,MATCH($D160,Regras!$A$4:$A$103,0)),0)),""))</f>
        <v/>
      </c>
      <c r="W160" s="27">
        <f>IF($AG160&lt;&gt;"Pronta","",SUM($T160:$V160))</f>
        <v/>
      </c>
      <c r="X160" s="27">
        <f>IF($AG160&lt;&gt;"Pronta","",IFERROR(MAX(-INDEX(Regras!$N$4:$N$103,MATCH($D160,Regras!$A$4:$A$103,0)),MIN(INDEX(Regras!$N$4:$N$103,MATCH($D160,Regras!$A$4:$A$103,0)),$W160)),""))</f>
        <v/>
      </c>
      <c r="Y160" s="19">
        <f>IF($AG160&lt;&gt;"Pronta","",IFERROR(ROUND($E160*(1+$X160),2),""))</f>
        <v/>
      </c>
      <c r="Z160" s="29">
        <f>IF(OR($AG160&lt;&gt;"Pronta",$Q160="",$R160=""),"",IFERROR(ROUND(MIN($R160,MAX($Q160,$Y160)),2),""))</f>
        <v/>
      </c>
      <c r="AA160" s="27">
        <f>IF(OR($E160="",$Z160=""),"",IFERROR($Z160/$E160-1,""))</f>
        <v/>
      </c>
      <c r="AB160" s="26">
        <f>IF($Z160="","",IF($Y160&lt;$Q160,"Piso",IF($Y160&gt;$R160,"Teto","Nenhuma")))</f>
        <v/>
      </c>
      <c r="AC160" s="21">
        <f>IF($A160="","",IF($AG160&lt;&gt;"Pronta","Aguardando dados válidos",_xlfn.TEXTJOIN(" | ",TRUE,IF($T160&gt;0,"Demanda: aumento",IF($T160&lt;0,"Demanda: redução","")),IF($U160&gt;0,"Concorrência: aumento",IF($U160&lt;0,"Concorrência: redução","")),IF($V160&gt;0,"Estoque: aumento",IF($V160&lt;0,"Estoque: redução","")),IF(ABS($W160-$X160)&gt;0.0000001,"Limite da rodada aplicado",""),IF($AB160="Piso","Piso vigente aplicado",IF($AB160="Teto","Teto aplicado","")),IF(AND($T160=0,$U160=0,$V160=0),"Sem gatilho de reajuste",""))))</f>
        <v/>
      </c>
      <c r="AD160" s="21">
        <f>IF(OR($A160="",$AG160&lt;&gt;"Pronta"),"",_xlfn.TEXTJOIN(" | ",TRUE,IF($E160&lt;$Q160,"Preço atual abaixo do piso",""),IF($E160&gt;$R160,"Preço atual acima do teto",""),IF(AND($N160&gt;0,$E160&gt;0,1-$N160/$E160&lt;$O160),"Margem estimada do preço atual abaixo do mínimo",""),IF($G160="","Preço concorrente não informado",""),IF($AB160="Piso","Recomendação travada no piso",""),IF($AB160="Teto","Recomendação travada no teto","")))</f>
        <v/>
      </c>
      <c r="AE160" s="19">
        <f>IF($AG160&lt;&gt;"Pronta","",IF($I160="Aprovar recomendação",$Z160,IF($I160="Manter preço atual",$E160,IF($I160="Definir manualmente",$J160,""))))</f>
        <v/>
      </c>
      <c r="AF160" s="21">
        <f>IF($A160="","",IF($AG160&lt;&gt;"Pronta","Aguardando correção",IF(OR($I160="",$I160="Pendente"),"Decisão pendente",IF(AND($I160="Definir manualmente",OR($J160="",$J160&lt;=0)),"Informe o preço manual",IF(OR($AE160&lt;$Q160,$AE160&gt;$R160),"Preço final fora do piso/teto","OK")))))</f>
        <v/>
      </c>
      <c r="AG160" s="26">
        <f>IF(COUNTA($A160:$K160)=0,"",IF(OR($A160="",$B160="",$C160="",$D160="",$E160="",$F160="",$H160=""),"Incompleta",IF(OR(COUNTIF($A$5:$A$204,$A160)&gt;1,NOT(ISNUMBER($B160)),COUNTIF(Produtos!$A$4:$A$103,$C160)&lt;&gt;1,IFERROR(INDEX(Produtos!$K$4:$K$103,MATCH($C160,Produtos!$A$4:$A$103,0))&lt;&gt;"Ativo",TRUE),IFERROR(INDEX(Produtos!$L$4:$L$103,MATCH($C160,Produtos!$A$4:$A$103,0))&lt;&gt;"OK",TRUE),COUNTIF(Regras!$A$4:$A$103,$D160)&lt;&gt;1,IFERROR(INDEX(Regras!$O$4:$O$103,MATCH($D160,Regras!$A$4:$A$103,0))&lt;&gt;"Sim",TRUE),IFERROR(INDEX(Regras!$P$4:$P$103,MATCH($D160,Regras!$A$4:$A$103,0))&lt;&gt;"OK",TRUE),NOT(ISNUMBER($E160)),$E160&lt;=0,NOT(ISNUMBER($F160)),$F160&lt;0,$F160&gt;5,NOT(ISNUMBER($H160)),$H160&lt;0,$H160&lt;&gt;INT($H160),AND($G160&lt;&gt;"",OR(NOT(ISNUMBER($G160)),$G160&lt;=0))),"Revisar","Pronta")))</f>
        <v/>
      </c>
    </row>
    <row r="161">
      <c r="A161" s="16" t="n"/>
      <c r="B161" s="24" t="n"/>
      <c r="C161" s="16" t="n"/>
      <c r="D161" s="16" t="n"/>
      <c r="E161" s="17" t="n"/>
      <c r="F161" s="18" t="n"/>
      <c r="G161" s="17" t="n"/>
      <c r="H161" s="20" t="n"/>
      <c r="I161" s="16" t="n"/>
      <c r="J161" s="17" t="n"/>
      <c r="K161" s="25" t="n"/>
      <c r="L161" s="26">
        <f>IF($C161="","",IFERROR(INDEX(Produtos!$B$4:$B$103,MATCH($C161,Produtos!$A$4:$A$103,0)),""))</f>
        <v/>
      </c>
      <c r="M161" s="26">
        <f>IF($C161="","",IFERROR(INDEX(Produtos!$C$4:$C$103,MATCH($C161,Produtos!$A$4:$A$103,0)),""))</f>
        <v/>
      </c>
      <c r="N161" s="19">
        <f>IF($C161="","",IFERROR(INDEX(Produtos!$D$4:$D$103,MATCH($C161,Produtos!$A$4:$A$103,0)),""))</f>
        <v/>
      </c>
      <c r="O161" s="27">
        <f>IF($C161="","",IFERROR(INDEX(Produtos!$E$4:$E$103,MATCH($C161,Produtos!$A$4:$A$103,0)),""))</f>
        <v/>
      </c>
      <c r="P161" s="19">
        <f>IF($C161="","",IFERROR(INDEX(Produtos!$G$4:$G$103,MATCH($C161,Produtos!$A$4:$A$103,0)),""))</f>
        <v/>
      </c>
      <c r="Q161" s="19">
        <f>IF($C161="","",IFERROR(INDEX(Produtos!$H$4:$H$103,MATCH($C161,Produtos!$A$4:$A$103,0)),""))</f>
        <v/>
      </c>
      <c r="R161" s="19">
        <f>IF($C161="","",IFERROR(INDEX(Produtos!$I$4:$I$103,MATCH($C161,Produtos!$A$4:$A$103,0)),""))</f>
        <v/>
      </c>
      <c r="S161" s="28">
        <f>IF($C161="","",IFERROR(INDEX(Produtos!$J$4:$J$103,MATCH($C161,Produtos!$A$4:$A$103,0)),""))</f>
        <v/>
      </c>
      <c r="T161" s="27">
        <f>IF($AG161&lt;&gt;"Pronta","",IFERROR(IF($F161&lt;=INDEX(Regras!$C$4:$C$103,MATCH($D161,Regras!$A$4:$A$103,0)),INDEX(Regras!$E$4:$E$103,MATCH($D161,Regras!$A$4:$A$103,0)),IF($F161&gt;=INDEX(Regras!$D$4:$D$103,MATCH($D161,Regras!$A$4:$A$103,0)),INDEX(Regras!$F$4:$F$103,MATCH($D161,Regras!$A$4:$A$103,0)),0)),""))</f>
        <v/>
      </c>
      <c r="U161" s="27">
        <f>IF($AG161&lt;&gt;"Pronta","",IFERROR(IF($G161="",0,IF($G161&lt;=$E161*(1-INDEX(Regras!$G$4:$G$103,MATCH($D161,Regras!$A$4:$A$103,0))),INDEX(Regras!$H$4:$H$103,MATCH($D161,Regras!$A$4:$A$103,0)),IF($G161&gt;=$E161*(1+INDEX(Regras!$G$4:$G$103,MATCH($D161,Regras!$A$4:$A$103,0))),INDEX(Regras!$I$4:$I$103,MATCH($D161,Regras!$A$4:$A$103,0)),0))),""))</f>
        <v/>
      </c>
      <c r="V161" s="27">
        <f>IF($AG161&lt;&gt;"Pronta","",IFERROR(IF($H161/$S161&lt;=INDEX(Regras!$J$4:$J$103,MATCH($D161,Regras!$A$4:$A$103,0)),INDEX(Regras!$L$4:$L$103,MATCH($D161,Regras!$A$4:$A$103,0)),IF($H161/$S161&gt;=INDEX(Regras!$K$4:$K$103,MATCH($D161,Regras!$A$4:$A$103,0)),INDEX(Regras!$M$4:$M$103,MATCH($D161,Regras!$A$4:$A$103,0)),0)),""))</f>
        <v/>
      </c>
      <c r="W161" s="27">
        <f>IF($AG161&lt;&gt;"Pronta","",SUM($T161:$V161))</f>
        <v/>
      </c>
      <c r="X161" s="27">
        <f>IF($AG161&lt;&gt;"Pronta","",IFERROR(MAX(-INDEX(Regras!$N$4:$N$103,MATCH($D161,Regras!$A$4:$A$103,0)),MIN(INDEX(Regras!$N$4:$N$103,MATCH($D161,Regras!$A$4:$A$103,0)),$W161)),""))</f>
        <v/>
      </c>
      <c r="Y161" s="19">
        <f>IF($AG161&lt;&gt;"Pronta","",IFERROR(ROUND($E161*(1+$X161),2),""))</f>
        <v/>
      </c>
      <c r="Z161" s="29">
        <f>IF(OR($AG161&lt;&gt;"Pronta",$Q161="",$R161=""),"",IFERROR(ROUND(MIN($R161,MAX($Q161,$Y161)),2),""))</f>
        <v/>
      </c>
      <c r="AA161" s="27">
        <f>IF(OR($E161="",$Z161=""),"",IFERROR($Z161/$E161-1,""))</f>
        <v/>
      </c>
      <c r="AB161" s="26">
        <f>IF($Z161="","",IF($Y161&lt;$Q161,"Piso",IF($Y161&gt;$R161,"Teto","Nenhuma")))</f>
        <v/>
      </c>
      <c r="AC161" s="21">
        <f>IF($A161="","",IF($AG161&lt;&gt;"Pronta","Aguardando dados válidos",_xlfn.TEXTJOIN(" | ",TRUE,IF($T161&gt;0,"Demanda: aumento",IF($T161&lt;0,"Demanda: redução","")),IF($U161&gt;0,"Concorrência: aumento",IF($U161&lt;0,"Concorrência: redução","")),IF($V161&gt;0,"Estoque: aumento",IF($V161&lt;0,"Estoque: redução","")),IF(ABS($W161-$X161)&gt;0.0000001,"Limite da rodada aplicado",""),IF($AB161="Piso","Piso vigente aplicado",IF($AB161="Teto","Teto aplicado","")),IF(AND($T161=0,$U161=0,$V161=0),"Sem gatilho de reajuste",""))))</f>
        <v/>
      </c>
      <c r="AD161" s="21">
        <f>IF(OR($A161="",$AG161&lt;&gt;"Pronta"),"",_xlfn.TEXTJOIN(" | ",TRUE,IF($E161&lt;$Q161,"Preço atual abaixo do piso",""),IF($E161&gt;$R161,"Preço atual acima do teto",""),IF(AND($N161&gt;0,$E161&gt;0,1-$N161/$E161&lt;$O161),"Margem estimada do preço atual abaixo do mínimo",""),IF($G161="","Preço concorrente não informado",""),IF($AB161="Piso","Recomendação travada no piso",""),IF($AB161="Teto","Recomendação travada no teto","")))</f>
        <v/>
      </c>
      <c r="AE161" s="19">
        <f>IF($AG161&lt;&gt;"Pronta","",IF($I161="Aprovar recomendação",$Z161,IF($I161="Manter preço atual",$E161,IF($I161="Definir manualmente",$J161,""))))</f>
        <v/>
      </c>
      <c r="AF161" s="21">
        <f>IF($A161="","",IF($AG161&lt;&gt;"Pronta","Aguardando correção",IF(OR($I161="",$I161="Pendente"),"Decisão pendente",IF(AND($I161="Definir manualmente",OR($J161="",$J161&lt;=0)),"Informe o preço manual",IF(OR($AE161&lt;$Q161,$AE161&gt;$R161),"Preço final fora do piso/teto","OK")))))</f>
        <v/>
      </c>
      <c r="AG161" s="26">
        <f>IF(COUNTA($A161:$K161)=0,"",IF(OR($A161="",$B161="",$C161="",$D161="",$E161="",$F161="",$H161=""),"Incompleta",IF(OR(COUNTIF($A$5:$A$204,$A161)&gt;1,NOT(ISNUMBER($B161)),COUNTIF(Produtos!$A$4:$A$103,$C161)&lt;&gt;1,IFERROR(INDEX(Produtos!$K$4:$K$103,MATCH($C161,Produtos!$A$4:$A$103,0))&lt;&gt;"Ativo",TRUE),IFERROR(INDEX(Produtos!$L$4:$L$103,MATCH($C161,Produtos!$A$4:$A$103,0))&lt;&gt;"OK",TRUE),COUNTIF(Regras!$A$4:$A$103,$D161)&lt;&gt;1,IFERROR(INDEX(Regras!$O$4:$O$103,MATCH($D161,Regras!$A$4:$A$103,0))&lt;&gt;"Sim",TRUE),IFERROR(INDEX(Regras!$P$4:$P$103,MATCH($D161,Regras!$A$4:$A$103,0))&lt;&gt;"OK",TRUE),NOT(ISNUMBER($E161)),$E161&lt;=0,NOT(ISNUMBER($F161)),$F161&lt;0,$F161&gt;5,NOT(ISNUMBER($H161)),$H161&lt;0,$H161&lt;&gt;INT($H161),AND($G161&lt;&gt;"",OR(NOT(ISNUMBER($G161)),$G161&lt;=0))),"Revisar","Pronta")))</f>
        <v/>
      </c>
    </row>
    <row r="162">
      <c r="A162" s="16" t="n"/>
      <c r="B162" s="24" t="n"/>
      <c r="C162" s="16" t="n"/>
      <c r="D162" s="16" t="n"/>
      <c r="E162" s="17" t="n"/>
      <c r="F162" s="18" t="n"/>
      <c r="G162" s="17" t="n"/>
      <c r="H162" s="20" t="n"/>
      <c r="I162" s="16" t="n"/>
      <c r="J162" s="17" t="n"/>
      <c r="K162" s="25" t="n"/>
      <c r="L162" s="26">
        <f>IF($C162="","",IFERROR(INDEX(Produtos!$B$4:$B$103,MATCH($C162,Produtos!$A$4:$A$103,0)),""))</f>
        <v/>
      </c>
      <c r="M162" s="26">
        <f>IF($C162="","",IFERROR(INDEX(Produtos!$C$4:$C$103,MATCH($C162,Produtos!$A$4:$A$103,0)),""))</f>
        <v/>
      </c>
      <c r="N162" s="19">
        <f>IF($C162="","",IFERROR(INDEX(Produtos!$D$4:$D$103,MATCH($C162,Produtos!$A$4:$A$103,0)),""))</f>
        <v/>
      </c>
      <c r="O162" s="27">
        <f>IF($C162="","",IFERROR(INDEX(Produtos!$E$4:$E$103,MATCH($C162,Produtos!$A$4:$A$103,0)),""))</f>
        <v/>
      </c>
      <c r="P162" s="19">
        <f>IF($C162="","",IFERROR(INDEX(Produtos!$G$4:$G$103,MATCH($C162,Produtos!$A$4:$A$103,0)),""))</f>
        <v/>
      </c>
      <c r="Q162" s="19">
        <f>IF($C162="","",IFERROR(INDEX(Produtos!$H$4:$H$103,MATCH($C162,Produtos!$A$4:$A$103,0)),""))</f>
        <v/>
      </c>
      <c r="R162" s="19">
        <f>IF($C162="","",IFERROR(INDEX(Produtos!$I$4:$I$103,MATCH($C162,Produtos!$A$4:$A$103,0)),""))</f>
        <v/>
      </c>
      <c r="S162" s="28">
        <f>IF($C162="","",IFERROR(INDEX(Produtos!$J$4:$J$103,MATCH($C162,Produtos!$A$4:$A$103,0)),""))</f>
        <v/>
      </c>
      <c r="T162" s="27">
        <f>IF($AG162&lt;&gt;"Pronta","",IFERROR(IF($F162&lt;=INDEX(Regras!$C$4:$C$103,MATCH($D162,Regras!$A$4:$A$103,0)),INDEX(Regras!$E$4:$E$103,MATCH($D162,Regras!$A$4:$A$103,0)),IF($F162&gt;=INDEX(Regras!$D$4:$D$103,MATCH($D162,Regras!$A$4:$A$103,0)),INDEX(Regras!$F$4:$F$103,MATCH($D162,Regras!$A$4:$A$103,0)),0)),""))</f>
        <v/>
      </c>
      <c r="U162" s="27">
        <f>IF($AG162&lt;&gt;"Pronta","",IFERROR(IF($G162="",0,IF($G162&lt;=$E162*(1-INDEX(Regras!$G$4:$G$103,MATCH($D162,Regras!$A$4:$A$103,0))),INDEX(Regras!$H$4:$H$103,MATCH($D162,Regras!$A$4:$A$103,0)),IF($G162&gt;=$E162*(1+INDEX(Regras!$G$4:$G$103,MATCH($D162,Regras!$A$4:$A$103,0))),INDEX(Regras!$I$4:$I$103,MATCH($D162,Regras!$A$4:$A$103,0)),0))),""))</f>
        <v/>
      </c>
      <c r="V162" s="27">
        <f>IF($AG162&lt;&gt;"Pronta","",IFERROR(IF($H162/$S162&lt;=INDEX(Regras!$J$4:$J$103,MATCH($D162,Regras!$A$4:$A$103,0)),INDEX(Regras!$L$4:$L$103,MATCH($D162,Regras!$A$4:$A$103,0)),IF($H162/$S162&gt;=INDEX(Regras!$K$4:$K$103,MATCH($D162,Regras!$A$4:$A$103,0)),INDEX(Regras!$M$4:$M$103,MATCH($D162,Regras!$A$4:$A$103,0)),0)),""))</f>
        <v/>
      </c>
      <c r="W162" s="27">
        <f>IF($AG162&lt;&gt;"Pronta","",SUM($T162:$V162))</f>
        <v/>
      </c>
      <c r="X162" s="27">
        <f>IF($AG162&lt;&gt;"Pronta","",IFERROR(MAX(-INDEX(Regras!$N$4:$N$103,MATCH($D162,Regras!$A$4:$A$103,0)),MIN(INDEX(Regras!$N$4:$N$103,MATCH($D162,Regras!$A$4:$A$103,0)),$W162)),""))</f>
        <v/>
      </c>
      <c r="Y162" s="19">
        <f>IF($AG162&lt;&gt;"Pronta","",IFERROR(ROUND($E162*(1+$X162),2),""))</f>
        <v/>
      </c>
      <c r="Z162" s="29">
        <f>IF(OR($AG162&lt;&gt;"Pronta",$Q162="",$R162=""),"",IFERROR(ROUND(MIN($R162,MAX($Q162,$Y162)),2),""))</f>
        <v/>
      </c>
      <c r="AA162" s="27">
        <f>IF(OR($E162="",$Z162=""),"",IFERROR($Z162/$E162-1,""))</f>
        <v/>
      </c>
      <c r="AB162" s="26">
        <f>IF($Z162="","",IF($Y162&lt;$Q162,"Piso",IF($Y162&gt;$R162,"Teto","Nenhuma")))</f>
        <v/>
      </c>
      <c r="AC162" s="21">
        <f>IF($A162="","",IF($AG162&lt;&gt;"Pronta","Aguardando dados válidos",_xlfn.TEXTJOIN(" | ",TRUE,IF($T162&gt;0,"Demanda: aumento",IF($T162&lt;0,"Demanda: redução","")),IF($U162&gt;0,"Concorrência: aumento",IF($U162&lt;0,"Concorrência: redução","")),IF($V162&gt;0,"Estoque: aumento",IF($V162&lt;0,"Estoque: redução","")),IF(ABS($W162-$X162)&gt;0.0000001,"Limite da rodada aplicado",""),IF($AB162="Piso","Piso vigente aplicado",IF($AB162="Teto","Teto aplicado","")),IF(AND($T162=0,$U162=0,$V162=0),"Sem gatilho de reajuste",""))))</f>
        <v/>
      </c>
      <c r="AD162" s="21">
        <f>IF(OR($A162="",$AG162&lt;&gt;"Pronta"),"",_xlfn.TEXTJOIN(" | ",TRUE,IF($E162&lt;$Q162,"Preço atual abaixo do piso",""),IF($E162&gt;$R162,"Preço atual acima do teto",""),IF(AND($N162&gt;0,$E162&gt;0,1-$N162/$E162&lt;$O162),"Margem estimada do preço atual abaixo do mínimo",""),IF($G162="","Preço concorrente não informado",""),IF($AB162="Piso","Recomendação travada no piso",""),IF($AB162="Teto","Recomendação travada no teto","")))</f>
        <v/>
      </c>
      <c r="AE162" s="19">
        <f>IF($AG162&lt;&gt;"Pronta","",IF($I162="Aprovar recomendação",$Z162,IF($I162="Manter preço atual",$E162,IF($I162="Definir manualmente",$J162,""))))</f>
        <v/>
      </c>
      <c r="AF162" s="21">
        <f>IF($A162="","",IF($AG162&lt;&gt;"Pronta","Aguardando correção",IF(OR($I162="",$I162="Pendente"),"Decisão pendente",IF(AND($I162="Definir manualmente",OR($J162="",$J162&lt;=0)),"Informe o preço manual",IF(OR($AE162&lt;$Q162,$AE162&gt;$R162),"Preço final fora do piso/teto","OK")))))</f>
        <v/>
      </c>
      <c r="AG162" s="26">
        <f>IF(COUNTA($A162:$K162)=0,"",IF(OR($A162="",$B162="",$C162="",$D162="",$E162="",$F162="",$H162=""),"Incompleta",IF(OR(COUNTIF($A$5:$A$204,$A162)&gt;1,NOT(ISNUMBER($B162)),COUNTIF(Produtos!$A$4:$A$103,$C162)&lt;&gt;1,IFERROR(INDEX(Produtos!$K$4:$K$103,MATCH($C162,Produtos!$A$4:$A$103,0))&lt;&gt;"Ativo",TRUE),IFERROR(INDEX(Produtos!$L$4:$L$103,MATCH($C162,Produtos!$A$4:$A$103,0))&lt;&gt;"OK",TRUE),COUNTIF(Regras!$A$4:$A$103,$D162)&lt;&gt;1,IFERROR(INDEX(Regras!$O$4:$O$103,MATCH($D162,Regras!$A$4:$A$103,0))&lt;&gt;"Sim",TRUE),IFERROR(INDEX(Regras!$P$4:$P$103,MATCH($D162,Regras!$A$4:$A$103,0))&lt;&gt;"OK",TRUE),NOT(ISNUMBER($E162)),$E162&lt;=0,NOT(ISNUMBER($F162)),$F162&lt;0,$F162&gt;5,NOT(ISNUMBER($H162)),$H162&lt;0,$H162&lt;&gt;INT($H162),AND($G162&lt;&gt;"",OR(NOT(ISNUMBER($G162)),$G162&lt;=0))),"Revisar","Pronta")))</f>
        <v/>
      </c>
    </row>
    <row r="163">
      <c r="A163" s="16" t="n"/>
      <c r="B163" s="24" t="n"/>
      <c r="C163" s="16" t="n"/>
      <c r="D163" s="16" t="n"/>
      <c r="E163" s="17" t="n"/>
      <c r="F163" s="18" t="n"/>
      <c r="G163" s="17" t="n"/>
      <c r="H163" s="20" t="n"/>
      <c r="I163" s="16" t="n"/>
      <c r="J163" s="17" t="n"/>
      <c r="K163" s="25" t="n"/>
      <c r="L163" s="26">
        <f>IF($C163="","",IFERROR(INDEX(Produtos!$B$4:$B$103,MATCH($C163,Produtos!$A$4:$A$103,0)),""))</f>
        <v/>
      </c>
      <c r="M163" s="26">
        <f>IF($C163="","",IFERROR(INDEX(Produtos!$C$4:$C$103,MATCH($C163,Produtos!$A$4:$A$103,0)),""))</f>
        <v/>
      </c>
      <c r="N163" s="19">
        <f>IF($C163="","",IFERROR(INDEX(Produtos!$D$4:$D$103,MATCH($C163,Produtos!$A$4:$A$103,0)),""))</f>
        <v/>
      </c>
      <c r="O163" s="27">
        <f>IF($C163="","",IFERROR(INDEX(Produtos!$E$4:$E$103,MATCH($C163,Produtos!$A$4:$A$103,0)),""))</f>
        <v/>
      </c>
      <c r="P163" s="19">
        <f>IF($C163="","",IFERROR(INDEX(Produtos!$G$4:$G$103,MATCH($C163,Produtos!$A$4:$A$103,0)),""))</f>
        <v/>
      </c>
      <c r="Q163" s="19">
        <f>IF($C163="","",IFERROR(INDEX(Produtos!$H$4:$H$103,MATCH($C163,Produtos!$A$4:$A$103,0)),""))</f>
        <v/>
      </c>
      <c r="R163" s="19">
        <f>IF($C163="","",IFERROR(INDEX(Produtos!$I$4:$I$103,MATCH($C163,Produtos!$A$4:$A$103,0)),""))</f>
        <v/>
      </c>
      <c r="S163" s="28">
        <f>IF($C163="","",IFERROR(INDEX(Produtos!$J$4:$J$103,MATCH($C163,Produtos!$A$4:$A$103,0)),""))</f>
        <v/>
      </c>
      <c r="T163" s="27">
        <f>IF($AG163&lt;&gt;"Pronta","",IFERROR(IF($F163&lt;=INDEX(Regras!$C$4:$C$103,MATCH($D163,Regras!$A$4:$A$103,0)),INDEX(Regras!$E$4:$E$103,MATCH($D163,Regras!$A$4:$A$103,0)),IF($F163&gt;=INDEX(Regras!$D$4:$D$103,MATCH($D163,Regras!$A$4:$A$103,0)),INDEX(Regras!$F$4:$F$103,MATCH($D163,Regras!$A$4:$A$103,0)),0)),""))</f>
        <v/>
      </c>
      <c r="U163" s="27">
        <f>IF($AG163&lt;&gt;"Pronta","",IFERROR(IF($G163="",0,IF($G163&lt;=$E163*(1-INDEX(Regras!$G$4:$G$103,MATCH($D163,Regras!$A$4:$A$103,0))),INDEX(Regras!$H$4:$H$103,MATCH($D163,Regras!$A$4:$A$103,0)),IF($G163&gt;=$E163*(1+INDEX(Regras!$G$4:$G$103,MATCH($D163,Regras!$A$4:$A$103,0))),INDEX(Regras!$I$4:$I$103,MATCH($D163,Regras!$A$4:$A$103,0)),0))),""))</f>
        <v/>
      </c>
      <c r="V163" s="27">
        <f>IF($AG163&lt;&gt;"Pronta","",IFERROR(IF($H163/$S163&lt;=INDEX(Regras!$J$4:$J$103,MATCH($D163,Regras!$A$4:$A$103,0)),INDEX(Regras!$L$4:$L$103,MATCH($D163,Regras!$A$4:$A$103,0)),IF($H163/$S163&gt;=INDEX(Regras!$K$4:$K$103,MATCH($D163,Regras!$A$4:$A$103,0)),INDEX(Regras!$M$4:$M$103,MATCH($D163,Regras!$A$4:$A$103,0)),0)),""))</f>
        <v/>
      </c>
      <c r="W163" s="27">
        <f>IF($AG163&lt;&gt;"Pronta","",SUM($T163:$V163))</f>
        <v/>
      </c>
      <c r="X163" s="27">
        <f>IF($AG163&lt;&gt;"Pronta","",IFERROR(MAX(-INDEX(Regras!$N$4:$N$103,MATCH($D163,Regras!$A$4:$A$103,0)),MIN(INDEX(Regras!$N$4:$N$103,MATCH($D163,Regras!$A$4:$A$103,0)),$W163)),""))</f>
        <v/>
      </c>
      <c r="Y163" s="19">
        <f>IF($AG163&lt;&gt;"Pronta","",IFERROR(ROUND($E163*(1+$X163),2),""))</f>
        <v/>
      </c>
      <c r="Z163" s="29">
        <f>IF(OR($AG163&lt;&gt;"Pronta",$Q163="",$R163=""),"",IFERROR(ROUND(MIN($R163,MAX($Q163,$Y163)),2),""))</f>
        <v/>
      </c>
      <c r="AA163" s="27">
        <f>IF(OR($E163="",$Z163=""),"",IFERROR($Z163/$E163-1,""))</f>
        <v/>
      </c>
      <c r="AB163" s="26">
        <f>IF($Z163="","",IF($Y163&lt;$Q163,"Piso",IF($Y163&gt;$R163,"Teto","Nenhuma")))</f>
        <v/>
      </c>
      <c r="AC163" s="21">
        <f>IF($A163="","",IF($AG163&lt;&gt;"Pronta","Aguardando dados válidos",_xlfn.TEXTJOIN(" | ",TRUE,IF($T163&gt;0,"Demanda: aumento",IF($T163&lt;0,"Demanda: redução","")),IF($U163&gt;0,"Concorrência: aumento",IF($U163&lt;0,"Concorrência: redução","")),IF($V163&gt;0,"Estoque: aumento",IF($V163&lt;0,"Estoque: redução","")),IF(ABS($W163-$X163)&gt;0.0000001,"Limite da rodada aplicado",""),IF($AB163="Piso","Piso vigente aplicado",IF($AB163="Teto","Teto aplicado","")),IF(AND($T163=0,$U163=0,$V163=0),"Sem gatilho de reajuste",""))))</f>
        <v/>
      </c>
      <c r="AD163" s="21">
        <f>IF(OR($A163="",$AG163&lt;&gt;"Pronta"),"",_xlfn.TEXTJOIN(" | ",TRUE,IF($E163&lt;$Q163,"Preço atual abaixo do piso",""),IF($E163&gt;$R163,"Preço atual acima do teto",""),IF(AND($N163&gt;0,$E163&gt;0,1-$N163/$E163&lt;$O163),"Margem estimada do preço atual abaixo do mínimo",""),IF($G163="","Preço concorrente não informado",""),IF($AB163="Piso","Recomendação travada no piso",""),IF($AB163="Teto","Recomendação travada no teto","")))</f>
        <v/>
      </c>
      <c r="AE163" s="19">
        <f>IF($AG163&lt;&gt;"Pronta","",IF($I163="Aprovar recomendação",$Z163,IF($I163="Manter preço atual",$E163,IF($I163="Definir manualmente",$J163,""))))</f>
        <v/>
      </c>
      <c r="AF163" s="21">
        <f>IF($A163="","",IF($AG163&lt;&gt;"Pronta","Aguardando correção",IF(OR($I163="",$I163="Pendente"),"Decisão pendente",IF(AND($I163="Definir manualmente",OR($J163="",$J163&lt;=0)),"Informe o preço manual",IF(OR($AE163&lt;$Q163,$AE163&gt;$R163),"Preço final fora do piso/teto","OK")))))</f>
        <v/>
      </c>
      <c r="AG163" s="26">
        <f>IF(COUNTA($A163:$K163)=0,"",IF(OR($A163="",$B163="",$C163="",$D163="",$E163="",$F163="",$H163=""),"Incompleta",IF(OR(COUNTIF($A$5:$A$204,$A163)&gt;1,NOT(ISNUMBER($B163)),COUNTIF(Produtos!$A$4:$A$103,$C163)&lt;&gt;1,IFERROR(INDEX(Produtos!$K$4:$K$103,MATCH($C163,Produtos!$A$4:$A$103,0))&lt;&gt;"Ativo",TRUE),IFERROR(INDEX(Produtos!$L$4:$L$103,MATCH($C163,Produtos!$A$4:$A$103,0))&lt;&gt;"OK",TRUE),COUNTIF(Regras!$A$4:$A$103,$D163)&lt;&gt;1,IFERROR(INDEX(Regras!$O$4:$O$103,MATCH($D163,Regras!$A$4:$A$103,0))&lt;&gt;"Sim",TRUE),IFERROR(INDEX(Regras!$P$4:$P$103,MATCH($D163,Regras!$A$4:$A$103,0))&lt;&gt;"OK",TRUE),NOT(ISNUMBER($E163)),$E163&lt;=0,NOT(ISNUMBER($F163)),$F163&lt;0,$F163&gt;5,NOT(ISNUMBER($H163)),$H163&lt;0,$H163&lt;&gt;INT($H163),AND($G163&lt;&gt;"",OR(NOT(ISNUMBER($G163)),$G163&lt;=0))),"Revisar","Pronta")))</f>
        <v/>
      </c>
    </row>
    <row r="164">
      <c r="A164" s="16" t="n"/>
      <c r="B164" s="24" t="n"/>
      <c r="C164" s="16" t="n"/>
      <c r="D164" s="16" t="n"/>
      <c r="E164" s="17" t="n"/>
      <c r="F164" s="18" t="n"/>
      <c r="G164" s="17" t="n"/>
      <c r="H164" s="20" t="n"/>
      <c r="I164" s="16" t="n"/>
      <c r="J164" s="17" t="n"/>
      <c r="K164" s="25" t="n"/>
      <c r="L164" s="26">
        <f>IF($C164="","",IFERROR(INDEX(Produtos!$B$4:$B$103,MATCH($C164,Produtos!$A$4:$A$103,0)),""))</f>
        <v/>
      </c>
      <c r="M164" s="26">
        <f>IF($C164="","",IFERROR(INDEX(Produtos!$C$4:$C$103,MATCH($C164,Produtos!$A$4:$A$103,0)),""))</f>
        <v/>
      </c>
      <c r="N164" s="19">
        <f>IF($C164="","",IFERROR(INDEX(Produtos!$D$4:$D$103,MATCH($C164,Produtos!$A$4:$A$103,0)),""))</f>
        <v/>
      </c>
      <c r="O164" s="27">
        <f>IF($C164="","",IFERROR(INDEX(Produtos!$E$4:$E$103,MATCH($C164,Produtos!$A$4:$A$103,0)),""))</f>
        <v/>
      </c>
      <c r="P164" s="19">
        <f>IF($C164="","",IFERROR(INDEX(Produtos!$G$4:$G$103,MATCH($C164,Produtos!$A$4:$A$103,0)),""))</f>
        <v/>
      </c>
      <c r="Q164" s="19">
        <f>IF($C164="","",IFERROR(INDEX(Produtos!$H$4:$H$103,MATCH($C164,Produtos!$A$4:$A$103,0)),""))</f>
        <v/>
      </c>
      <c r="R164" s="19">
        <f>IF($C164="","",IFERROR(INDEX(Produtos!$I$4:$I$103,MATCH($C164,Produtos!$A$4:$A$103,0)),""))</f>
        <v/>
      </c>
      <c r="S164" s="28">
        <f>IF($C164="","",IFERROR(INDEX(Produtos!$J$4:$J$103,MATCH($C164,Produtos!$A$4:$A$103,0)),""))</f>
        <v/>
      </c>
      <c r="T164" s="27">
        <f>IF($AG164&lt;&gt;"Pronta","",IFERROR(IF($F164&lt;=INDEX(Regras!$C$4:$C$103,MATCH($D164,Regras!$A$4:$A$103,0)),INDEX(Regras!$E$4:$E$103,MATCH($D164,Regras!$A$4:$A$103,0)),IF($F164&gt;=INDEX(Regras!$D$4:$D$103,MATCH($D164,Regras!$A$4:$A$103,0)),INDEX(Regras!$F$4:$F$103,MATCH($D164,Regras!$A$4:$A$103,0)),0)),""))</f>
        <v/>
      </c>
      <c r="U164" s="27">
        <f>IF($AG164&lt;&gt;"Pronta","",IFERROR(IF($G164="",0,IF($G164&lt;=$E164*(1-INDEX(Regras!$G$4:$G$103,MATCH($D164,Regras!$A$4:$A$103,0))),INDEX(Regras!$H$4:$H$103,MATCH($D164,Regras!$A$4:$A$103,0)),IF($G164&gt;=$E164*(1+INDEX(Regras!$G$4:$G$103,MATCH($D164,Regras!$A$4:$A$103,0))),INDEX(Regras!$I$4:$I$103,MATCH($D164,Regras!$A$4:$A$103,0)),0))),""))</f>
        <v/>
      </c>
      <c r="V164" s="27">
        <f>IF($AG164&lt;&gt;"Pronta","",IFERROR(IF($H164/$S164&lt;=INDEX(Regras!$J$4:$J$103,MATCH($D164,Regras!$A$4:$A$103,0)),INDEX(Regras!$L$4:$L$103,MATCH($D164,Regras!$A$4:$A$103,0)),IF($H164/$S164&gt;=INDEX(Regras!$K$4:$K$103,MATCH($D164,Regras!$A$4:$A$103,0)),INDEX(Regras!$M$4:$M$103,MATCH($D164,Regras!$A$4:$A$103,0)),0)),""))</f>
        <v/>
      </c>
      <c r="W164" s="27">
        <f>IF($AG164&lt;&gt;"Pronta","",SUM($T164:$V164))</f>
        <v/>
      </c>
      <c r="X164" s="27">
        <f>IF($AG164&lt;&gt;"Pronta","",IFERROR(MAX(-INDEX(Regras!$N$4:$N$103,MATCH($D164,Regras!$A$4:$A$103,0)),MIN(INDEX(Regras!$N$4:$N$103,MATCH($D164,Regras!$A$4:$A$103,0)),$W164)),""))</f>
        <v/>
      </c>
      <c r="Y164" s="19">
        <f>IF($AG164&lt;&gt;"Pronta","",IFERROR(ROUND($E164*(1+$X164),2),""))</f>
        <v/>
      </c>
      <c r="Z164" s="29">
        <f>IF(OR($AG164&lt;&gt;"Pronta",$Q164="",$R164=""),"",IFERROR(ROUND(MIN($R164,MAX($Q164,$Y164)),2),""))</f>
        <v/>
      </c>
      <c r="AA164" s="27">
        <f>IF(OR($E164="",$Z164=""),"",IFERROR($Z164/$E164-1,""))</f>
        <v/>
      </c>
      <c r="AB164" s="26">
        <f>IF($Z164="","",IF($Y164&lt;$Q164,"Piso",IF($Y164&gt;$R164,"Teto","Nenhuma")))</f>
        <v/>
      </c>
      <c r="AC164" s="21">
        <f>IF($A164="","",IF($AG164&lt;&gt;"Pronta","Aguardando dados válidos",_xlfn.TEXTJOIN(" | ",TRUE,IF($T164&gt;0,"Demanda: aumento",IF($T164&lt;0,"Demanda: redução","")),IF($U164&gt;0,"Concorrência: aumento",IF($U164&lt;0,"Concorrência: redução","")),IF($V164&gt;0,"Estoque: aumento",IF($V164&lt;0,"Estoque: redução","")),IF(ABS($W164-$X164)&gt;0.0000001,"Limite da rodada aplicado",""),IF($AB164="Piso","Piso vigente aplicado",IF($AB164="Teto","Teto aplicado","")),IF(AND($T164=0,$U164=0,$V164=0),"Sem gatilho de reajuste",""))))</f>
        <v/>
      </c>
      <c r="AD164" s="21">
        <f>IF(OR($A164="",$AG164&lt;&gt;"Pronta"),"",_xlfn.TEXTJOIN(" | ",TRUE,IF($E164&lt;$Q164,"Preço atual abaixo do piso",""),IF($E164&gt;$R164,"Preço atual acima do teto",""),IF(AND($N164&gt;0,$E164&gt;0,1-$N164/$E164&lt;$O164),"Margem estimada do preço atual abaixo do mínimo",""),IF($G164="","Preço concorrente não informado",""),IF($AB164="Piso","Recomendação travada no piso",""),IF($AB164="Teto","Recomendação travada no teto","")))</f>
        <v/>
      </c>
      <c r="AE164" s="19">
        <f>IF($AG164&lt;&gt;"Pronta","",IF($I164="Aprovar recomendação",$Z164,IF($I164="Manter preço atual",$E164,IF($I164="Definir manualmente",$J164,""))))</f>
        <v/>
      </c>
      <c r="AF164" s="21">
        <f>IF($A164="","",IF($AG164&lt;&gt;"Pronta","Aguardando correção",IF(OR($I164="",$I164="Pendente"),"Decisão pendente",IF(AND($I164="Definir manualmente",OR($J164="",$J164&lt;=0)),"Informe o preço manual",IF(OR($AE164&lt;$Q164,$AE164&gt;$R164),"Preço final fora do piso/teto","OK")))))</f>
        <v/>
      </c>
      <c r="AG164" s="26">
        <f>IF(COUNTA($A164:$K164)=0,"",IF(OR($A164="",$B164="",$C164="",$D164="",$E164="",$F164="",$H164=""),"Incompleta",IF(OR(COUNTIF($A$5:$A$204,$A164)&gt;1,NOT(ISNUMBER($B164)),COUNTIF(Produtos!$A$4:$A$103,$C164)&lt;&gt;1,IFERROR(INDEX(Produtos!$K$4:$K$103,MATCH($C164,Produtos!$A$4:$A$103,0))&lt;&gt;"Ativo",TRUE),IFERROR(INDEX(Produtos!$L$4:$L$103,MATCH($C164,Produtos!$A$4:$A$103,0))&lt;&gt;"OK",TRUE),COUNTIF(Regras!$A$4:$A$103,$D164)&lt;&gt;1,IFERROR(INDEX(Regras!$O$4:$O$103,MATCH($D164,Regras!$A$4:$A$103,0))&lt;&gt;"Sim",TRUE),IFERROR(INDEX(Regras!$P$4:$P$103,MATCH($D164,Regras!$A$4:$A$103,0))&lt;&gt;"OK",TRUE),NOT(ISNUMBER($E164)),$E164&lt;=0,NOT(ISNUMBER($F164)),$F164&lt;0,$F164&gt;5,NOT(ISNUMBER($H164)),$H164&lt;0,$H164&lt;&gt;INT($H164),AND($G164&lt;&gt;"",OR(NOT(ISNUMBER($G164)),$G164&lt;=0))),"Revisar","Pronta")))</f>
        <v/>
      </c>
    </row>
    <row r="165">
      <c r="A165" s="16" t="n"/>
      <c r="B165" s="24" t="n"/>
      <c r="C165" s="16" t="n"/>
      <c r="D165" s="16" t="n"/>
      <c r="E165" s="17" t="n"/>
      <c r="F165" s="18" t="n"/>
      <c r="G165" s="17" t="n"/>
      <c r="H165" s="20" t="n"/>
      <c r="I165" s="16" t="n"/>
      <c r="J165" s="17" t="n"/>
      <c r="K165" s="25" t="n"/>
      <c r="L165" s="26">
        <f>IF($C165="","",IFERROR(INDEX(Produtos!$B$4:$B$103,MATCH($C165,Produtos!$A$4:$A$103,0)),""))</f>
        <v/>
      </c>
      <c r="M165" s="26">
        <f>IF($C165="","",IFERROR(INDEX(Produtos!$C$4:$C$103,MATCH($C165,Produtos!$A$4:$A$103,0)),""))</f>
        <v/>
      </c>
      <c r="N165" s="19">
        <f>IF($C165="","",IFERROR(INDEX(Produtos!$D$4:$D$103,MATCH($C165,Produtos!$A$4:$A$103,0)),""))</f>
        <v/>
      </c>
      <c r="O165" s="27">
        <f>IF($C165="","",IFERROR(INDEX(Produtos!$E$4:$E$103,MATCH($C165,Produtos!$A$4:$A$103,0)),""))</f>
        <v/>
      </c>
      <c r="P165" s="19">
        <f>IF($C165="","",IFERROR(INDEX(Produtos!$G$4:$G$103,MATCH($C165,Produtos!$A$4:$A$103,0)),""))</f>
        <v/>
      </c>
      <c r="Q165" s="19">
        <f>IF($C165="","",IFERROR(INDEX(Produtos!$H$4:$H$103,MATCH($C165,Produtos!$A$4:$A$103,0)),""))</f>
        <v/>
      </c>
      <c r="R165" s="19">
        <f>IF($C165="","",IFERROR(INDEX(Produtos!$I$4:$I$103,MATCH($C165,Produtos!$A$4:$A$103,0)),""))</f>
        <v/>
      </c>
      <c r="S165" s="28">
        <f>IF($C165="","",IFERROR(INDEX(Produtos!$J$4:$J$103,MATCH($C165,Produtos!$A$4:$A$103,0)),""))</f>
        <v/>
      </c>
      <c r="T165" s="27">
        <f>IF($AG165&lt;&gt;"Pronta","",IFERROR(IF($F165&lt;=INDEX(Regras!$C$4:$C$103,MATCH($D165,Regras!$A$4:$A$103,0)),INDEX(Regras!$E$4:$E$103,MATCH($D165,Regras!$A$4:$A$103,0)),IF($F165&gt;=INDEX(Regras!$D$4:$D$103,MATCH($D165,Regras!$A$4:$A$103,0)),INDEX(Regras!$F$4:$F$103,MATCH($D165,Regras!$A$4:$A$103,0)),0)),""))</f>
        <v/>
      </c>
      <c r="U165" s="27">
        <f>IF($AG165&lt;&gt;"Pronta","",IFERROR(IF($G165="",0,IF($G165&lt;=$E165*(1-INDEX(Regras!$G$4:$G$103,MATCH($D165,Regras!$A$4:$A$103,0))),INDEX(Regras!$H$4:$H$103,MATCH($D165,Regras!$A$4:$A$103,0)),IF($G165&gt;=$E165*(1+INDEX(Regras!$G$4:$G$103,MATCH($D165,Regras!$A$4:$A$103,0))),INDEX(Regras!$I$4:$I$103,MATCH($D165,Regras!$A$4:$A$103,0)),0))),""))</f>
        <v/>
      </c>
      <c r="V165" s="27">
        <f>IF($AG165&lt;&gt;"Pronta","",IFERROR(IF($H165/$S165&lt;=INDEX(Regras!$J$4:$J$103,MATCH($D165,Regras!$A$4:$A$103,0)),INDEX(Regras!$L$4:$L$103,MATCH($D165,Regras!$A$4:$A$103,0)),IF($H165/$S165&gt;=INDEX(Regras!$K$4:$K$103,MATCH($D165,Regras!$A$4:$A$103,0)),INDEX(Regras!$M$4:$M$103,MATCH($D165,Regras!$A$4:$A$103,0)),0)),""))</f>
        <v/>
      </c>
      <c r="W165" s="27">
        <f>IF($AG165&lt;&gt;"Pronta","",SUM($T165:$V165))</f>
        <v/>
      </c>
      <c r="X165" s="27">
        <f>IF($AG165&lt;&gt;"Pronta","",IFERROR(MAX(-INDEX(Regras!$N$4:$N$103,MATCH($D165,Regras!$A$4:$A$103,0)),MIN(INDEX(Regras!$N$4:$N$103,MATCH($D165,Regras!$A$4:$A$103,0)),$W165)),""))</f>
        <v/>
      </c>
      <c r="Y165" s="19">
        <f>IF($AG165&lt;&gt;"Pronta","",IFERROR(ROUND($E165*(1+$X165),2),""))</f>
        <v/>
      </c>
      <c r="Z165" s="29">
        <f>IF(OR($AG165&lt;&gt;"Pronta",$Q165="",$R165=""),"",IFERROR(ROUND(MIN($R165,MAX($Q165,$Y165)),2),""))</f>
        <v/>
      </c>
      <c r="AA165" s="27">
        <f>IF(OR($E165="",$Z165=""),"",IFERROR($Z165/$E165-1,""))</f>
        <v/>
      </c>
      <c r="AB165" s="26">
        <f>IF($Z165="","",IF($Y165&lt;$Q165,"Piso",IF($Y165&gt;$R165,"Teto","Nenhuma")))</f>
        <v/>
      </c>
      <c r="AC165" s="21">
        <f>IF($A165="","",IF($AG165&lt;&gt;"Pronta","Aguardando dados válidos",_xlfn.TEXTJOIN(" | ",TRUE,IF($T165&gt;0,"Demanda: aumento",IF($T165&lt;0,"Demanda: redução","")),IF($U165&gt;0,"Concorrência: aumento",IF($U165&lt;0,"Concorrência: redução","")),IF($V165&gt;0,"Estoque: aumento",IF($V165&lt;0,"Estoque: redução","")),IF(ABS($W165-$X165)&gt;0.0000001,"Limite da rodada aplicado",""),IF($AB165="Piso","Piso vigente aplicado",IF($AB165="Teto","Teto aplicado","")),IF(AND($T165=0,$U165=0,$V165=0),"Sem gatilho de reajuste",""))))</f>
        <v/>
      </c>
      <c r="AD165" s="21">
        <f>IF(OR($A165="",$AG165&lt;&gt;"Pronta"),"",_xlfn.TEXTJOIN(" | ",TRUE,IF($E165&lt;$Q165,"Preço atual abaixo do piso",""),IF($E165&gt;$R165,"Preço atual acima do teto",""),IF(AND($N165&gt;0,$E165&gt;0,1-$N165/$E165&lt;$O165),"Margem estimada do preço atual abaixo do mínimo",""),IF($G165="","Preço concorrente não informado",""),IF($AB165="Piso","Recomendação travada no piso",""),IF($AB165="Teto","Recomendação travada no teto","")))</f>
        <v/>
      </c>
      <c r="AE165" s="19">
        <f>IF($AG165&lt;&gt;"Pronta","",IF($I165="Aprovar recomendação",$Z165,IF($I165="Manter preço atual",$E165,IF($I165="Definir manualmente",$J165,""))))</f>
        <v/>
      </c>
      <c r="AF165" s="21">
        <f>IF($A165="","",IF($AG165&lt;&gt;"Pronta","Aguardando correção",IF(OR($I165="",$I165="Pendente"),"Decisão pendente",IF(AND($I165="Definir manualmente",OR($J165="",$J165&lt;=0)),"Informe o preço manual",IF(OR($AE165&lt;$Q165,$AE165&gt;$R165),"Preço final fora do piso/teto","OK")))))</f>
        <v/>
      </c>
      <c r="AG165" s="26">
        <f>IF(COUNTA($A165:$K165)=0,"",IF(OR($A165="",$B165="",$C165="",$D165="",$E165="",$F165="",$H165=""),"Incompleta",IF(OR(COUNTIF($A$5:$A$204,$A165)&gt;1,NOT(ISNUMBER($B165)),COUNTIF(Produtos!$A$4:$A$103,$C165)&lt;&gt;1,IFERROR(INDEX(Produtos!$K$4:$K$103,MATCH($C165,Produtos!$A$4:$A$103,0))&lt;&gt;"Ativo",TRUE),IFERROR(INDEX(Produtos!$L$4:$L$103,MATCH($C165,Produtos!$A$4:$A$103,0))&lt;&gt;"OK",TRUE),COUNTIF(Regras!$A$4:$A$103,$D165)&lt;&gt;1,IFERROR(INDEX(Regras!$O$4:$O$103,MATCH($D165,Regras!$A$4:$A$103,0))&lt;&gt;"Sim",TRUE),IFERROR(INDEX(Regras!$P$4:$P$103,MATCH($D165,Regras!$A$4:$A$103,0))&lt;&gt;"OK",TRUE),NOT(ISNUMBER($E165)),$E165&lt;=0,NOT(ISNUMBER($F165)),$F165&lt;0,$F165&gt;5,NOT(ISNUMBER($H165)),$H165&lt;0,$H165&lt;&gt;INT($H165),AND($G165&lt;&gt;"",OR(NOT(ISNUMBER($G165)),$G165&lt;=0))),"Revisar","Pronta")))</f>
        <v/>
      </c>
    </row>
    <row r="166">
      <c r="A166" s="16" t="n"/>
      <c r="B166" s="24" t="n"/>
      <c r="C166" s="16" t="n"/>
      <c r="D166" s="16" t="n"/>
      <c r="E166" s="17" t="n"/>
      <c r="F166" s="18" t="n"/>
      <c r="G166" s="17" t="n"/>
      <c r="H166" s="20" t="n"/>
      <c r="I166" s="16" t="n"/>
      <c r="J166" s="17" t="n"/>
      <c r="K166" s="25" t="n"/>
      <c r="L166" s="26">
        <f>IF($C166="","",IFERROR(INDEX(Produtos!$B$4:$B$103,MATCH($C166,Produtos!$A$4:$A$103,0)),""))</f>
        <v/>
      </c>
      <c r="M166" s="26">
        <f>IF($C166="","",IFERROR(INDEX(Produtos!$C$4:$C$103,MATCH($C166,Produtos!$A$4:$A$103,0)),""))</f>
        <v/>
      </c>
      <c r="N166" s="19">
        <f>IF($C166="","",IFERROR(INDEX(Produtos!$D$4:$D$103,MATCH($C166,Produtos!$A$4:$A$103,0)),""))</f>
        <v/>
      </c>
      <c r="O166" s="27">
        <f>IF($C166="","",IFERROR(INDEX(Produtos!$E$4:$E$103,MATCH($C166,Produtos!$A$4:$A$103,0)),""))</f>
        <v/>
      </c>
      <c r="P166" s="19">
        <f>IF($C166="","",IFERROR(INDEX(Produtos!$G$4:$G$103,MATCH($C166,Produtos!$A$4:$A$103,0)),""))</f>
        <v/>
      </c>
      <c r="Q166" s="19">
        <f>IF($C166="","",IFERROR(INDEX(Produtos!$H$4:$H$103,MATCH($C166,Produtos!$A$4:$A$103,0)),""))</f>
        <v/>
      </c>
      <c r="R166" s="19">
        <f>IF($C166="","",IFERROR(INDEX(Produtos!$I$4:$I$103,MATCH($C166,Produtos!$A$4:$A$103,0)),""))</f>
        <v/>
      </c>
      <c r="S166" s="28">
        <f>IF($C166="","",IFERROR(INDEX(Produtos!$J$4:$J$103,MATCH($C166,Produtos!$A$4:$A$103,0)),""))</f>
        <v/>
      </c>
      <c r="T166" s="27">
        <f>IF($AG166&lt;&gt;"Pronta","",IFERROR(IF($F166&lt;=INDEX(Regras!$C$4:$C$103,MATCH($D166,Regras!$A$4:$A$103,0)),INDEX(Regras!$E$4:$E$103,MATCH($D166,Regras!$A$4:$A$103,0)),IF($F166&gt;=INDEX(Regras!$D$4:$D$103,MATCH($D166,Regras!$A$4:$A$103,0)),INDEX(Regras!$F$4:$F$103,MATCH($D166,Regras!$A$4:$A$103,0)),0)),""))</f>
        <v/>
      </c>
      <c r="U166" s="27">
        <f>IF($AG166&lt;&gt;"Pronta","",IFERROR(IF($G166="",0,IF($G166&lt;=$E166*(1-INDEX(Regras!$G$4:$G$103,MATCH($D166,Regras!$A$4:$A$103,0))),INDEX(Regras!$H$4:$H$103,MATCH($D166,Regras!$A$4:$A$103,0)),IF($G166&gt;=$E166*(1+INDEX(Regras!$G$4:$G$103,MATCH($D166,Regras!$A$4:$A$103,0))),INDEX(Regras!$I$4:$I$103,MATCH($D166,Regras!$A$4:$A$103,0)),0))),""))</f>
        <v/>
      </c>
      <c r="V166" s="27">
        <f>IF($AG166&lt;&gt;"Pronta","",IFERROR(IF($H166/$S166&lt;=INDEX(Regras!$J$4:$J$103,MATCH($D166,Regras!$A$4:$A$103,0)),INDEX(Regras!$L$4:$L$103,MATCH($D166,Regras!$A$4:$A$103,0)),IF($H166/$S166&gt;=INDEX(Regras!$K$4:$K$103,MATCH($D166,Regras!$A$4:$A$103,0)),INDEX(Regras!$M$4:$M$103,MATCH($D166,Regras!$A$4:$A$103,0)),0)),""))</f>
        <v/>
      </c>
      <c r="W166" s="27">
        <f>IF($AG166&lt;&gt;"Pronta","",SUM($T166:$V166))</f>
        <v/>
      </c>
      <c r="X166" s="27">
        <f>IF($AG166&lt;&gt;"Pronta","",IFERROR(MAX(-INDEX(Regras!$N$4:$N$103,MATCH($D166,Regras!$A$4:$A$103,0)),MIN(INDEX(Regras!$N$4:$N$103,MATCH($D166,Regras!$A$4:$A$103,0)),$W166)),""))</f>
        <v/>
      </c>
      <c r="Y166" s="19">
        <f>IF($AG166&lt;&gt;"Pronta","",IFERROR(ROUND($E166*(1+$X166),2),""))</f>
        <v/>
      </c>
      <c r="Z166" s="29">
        <f>IF(OR($AG166&lt;&gt;"Pronta",$Q166="",$R166=""),"",IFERROR(ROUND(MIN($R166,MAX($Q166,$Y166)),2),""))</f>
        <v/>
      </c>
      <c r="AA166" s="27">
        <f>IF(OR($E166="",$Z166=""),"",IFERROR($Z166/$E166-1,""))</f>
        <v/>
      </c>
      <c r="AB166" s="26">
        <f>IF($Z166="","",IF($Y166&lt;$Q166,"Piso",IF($Y166&gt;$R166,"Teto","Nenhuma")))</f>
        <v/>
      </c>
      <c r="AC166" s="21">
        <f>IF($A166="","",IF($AG166&lt;&gt;"Pronta","Aguardando dados válidos",_xlfn.TEXTJOIN(" | ",TRUE,IF($T166&gt;0,"Demanda: aumento",IF($T166&lt;0,"Demanda: redução","")),IF($U166&gt;0,"Concorrência: aumento",IF($U166&lt;0,"Concorrência: redução","")),IF($V166&gt;0,"Estoque: aumento",IF($V166&lt;0,"Estoque: redução","")),IF(ABS($W166-$X166)&gt;0.0000001,"Limite da rodada aplicado",""),IF($AB166="Piso","Piso vigente aplicado",IF($AB166="Teto","Teto aplicado","")),IF(AND($T166=0,$U166=0,$V166=0),"Sem gatilho de reajuste",""))))</f>
        <v/>
      </c>
      <c r="AD166" s="21">
        <f>IF(OR($A166="",$AG166&lt;&gt;"Pronta"),"",_xlfn.TEXTJOIN(" | ",TRUE,IF($E166&lt;$Q166,"Preço atual abaixo do piso",""),IF($E166&gt;$R166,"Preço atual acima do teto",""),IF(AND($N166&gt;0,$E166&gt;0,1-$N166/$E166&lt;$O166),"Margem estimada do preço atual abaixo do mínimo",""),IF($G166="","Preço concorrente não informado",""),IF($AB166="Piso","Recomendação travada no piso",""),IF($AB166="Teto","Recomendação travada no teto","")))</f>
        <v/>
      </c>
      <c r="AE166" s="19">
        <f>IF($AG166&lt;&gt;"Pronta","",IF($I166="Aprovar recomendação",$Z166,IF($I166="Manter preço atual",$E166,IF($I166="Definir manualmente",$J166,""))))</f>
        <v/>
      </c>
      <c r="AF166" s="21">
        <f>IF($A166="","",IF($AG166&lt;&gt;"Pronta","Aguardando correção",IF(OR($I166="",$I166="Pendente"),"Decisão pendente",IF(AND($I166="Definir manualmente",OR($J166="",$J166&lt;=0)),"Informe o preço manual",IF(OR($AE166&lt;$Q166,$AE166&gt;$R166),"Preço final fora do piso/teto","OK")))))</f>
        <v/>
      </c>
      <c r="AG166" s="26">
        <f>IF(COUNTA($A166:$K166)=0,"",IF(OR($A166="",$B166="",$C166="",$D166="",$E166="",$F166="",$H166=""),"Incompleta",IF(OR(COUNTIF($A$5:$A$204,$A166)&gt;1,NOT(ISNUMBER($B166)),COUNTIF(Produtos!$A$4:$A$103,$C166)&lt;&gt;1,IFERROR(INDEX(Produtos!$K$4:$K$103,MATCH($C166,Produtos!$A$4:$A$103,0))&lt;&gt;"Ativo",TRUE),IFERROR(INDEX(Produtos!$L$4:$L$103,MATCH($C166,Produtos!$A$4:$A$103,0))&lt;&gt;"OK",TRUE),COUNTIF(Regras!$A$4:$A$103,$D166)&lt;&gt;1,IFERROR(INDEX(Regras!$O$4:$O$103,MATCH($D166,Regras!$A$4:$A$103,0))&lt;&gt;"Sim",TRUE),IFERROR(INDEX(Regras!$P$4:$P$103,MATCH($D166,Regras!$A$4:$A$103,0))&lt;&gt;"OK",TRUE),NOT(ISNUMBER($E166)),$E166&lt;=0,NOT(ISNUMBER($F166)),$F166&lt;0,$F166&gt;5,NOT(ISNUMBER($H166)),$H166&lt;0,$H166&lt;&gt;INT($H166),AND($G166&lt;&gt;"",OR(NOT(ISNUMBER($G166)),$G166&lt;=0))),"Revisar","Pronta")))</f>
        <v/>
      </c>
    </row>
    <row r="167">
      <c r="A167" s="16" t="n"/>
      <c r="B167" s="24" t="n"/>
      <c r="C167" s="16" t="n"/>
      <c r="D167" s="16" t="n"/>
      <c r="E167" s="17" t="n"/>
      <c r="F167" s="18" t="n"/>
      <c r="G167" s="17" t="n"/>
      <c r="H167" s="20" t="n"/>
      <c r="I167" s="16" t="n"/>
      <c r="J167" s="17" t="n"/>
      <c r="K167" s="25" t="n"/>
      <c r="L167" s="26">
        <f>IF($C167="","",IFERROR(INDEX(Produtos!$B$4:$B$103,MATCH($C167,Produtos!$A$4:$A$103,0)),""))</f>
        <v/>
      </c>
      <c r="M167" s="26">
        <f>IF($C167="","",IFERROR(INDEX(Produtos!$C$4:$C$103,MATCH($C167,Produtos!$A$4:$A$103,0)),""))</f>
        <v/>
      </c>
      <c r="N167" s="19">
        <f>IF($C167="","",IFERROR(INDEX(Produtos!$D$4:$D$103,MATCH($C167,Produtos!$A$4:$A$103,0)),""))</f>
        <v/>
      </c>
      <c r="O167" s="27">
        <f>IF($C167="","",IFERROR(INDEX(Produtos!$E$4:$E$103,MATCH($C167,Produtos!$A$4:$A$103,0)),""))</f>
        <v/>
      </c>
      <c r="P167" s="19">
        <f>IF($C167="","",IFERROR(INDEX(Produtos!$G$4:$G$103,MATCH($C167,Produtos!$A$4:$A$103,0)),""))</f>
        <v/>
      </c>
      <c r="Q167" s="19">
        <f>IF($C167="","",IFERROR(INDEX(Produtos!$H$4:$H$103,MATCH($C167,Produtos!$A$4:$A$103,0)),""))</f>
        <v/>
      </c>
      <c r="R167" s="19">
        <f>IF($C167="","",IFERROR(INDEX(Produtos!$I$4:$I$103,MATCH($C167,Produtos!$A$4:$A$103,0)),""))</f>
        <v/>
      </c>
      <c r="S167" s="28">
        <f>IF($C167="","",IFERROR(INDEX(Produtos!$J$4:$J$103,MATCH($C167,Produtos!$A$4:$A$103,0)),""))</f>
        <v/>
      </c>
      <c r="T167" s="27">
        <f>IF($AG167&lt;&gt;"Pronta","",IFERROR(IF($F167&lt;=INDEX(Regras!$C$4:$C$103,MATCH($D167,Regras!$A$4:$A$103,0)),INDEX(Regras!$E$4:$E$103,MATCH($D167,Regras!$A$4:$A$103,0)),IF($F167&gt;=INDEX(Regras!$D$4:$D$103,MATCH($D167,Regras!$A$4:$A$103,0)),INDEX(Regras!$F$4:$F$103,MATCH($D167,Regras!$A$4:$A$103,0)),0)),""))</f>
        <v/>
      </c>
      <c r="U167" s="27">
        <f>IF($AG167&lt;&gt;"Pronta","",IFERROR(IF($G167="",0,IF($G167&lt;=$E167*(1-INDEX(Regras!$G$4:$G$103,MATCH($D167,Regras!$A$4:$A$103,0))),INDEX(Regras!$H$4:$H$103,MATCH($D167,Regras!$A$4:$A$103,0)),IF($G167&gt;=$E167*(1+INDEX(Regras!$G$4:$G$103,MATCH($D167,Regras!$A$4:$A$103,0))),INDEX(Regras!$I$4:$I$103,MATCH($D167,Regras!$A$4:$A$103,0)),0))),""))</f>
        <v/>
      </c>
      <c r="V167" s="27">
        <f>IF($AG167&lt;&gt;"Pronta","",IFERROR(IF($H167/$S167&lt;=INDEX(Regras!$J$4:$J$103,MATCH($D167,Regras!$A$4:$A$103,0)),INDEX(Regras!$L$4:$L$103,MATCH($D167,Regras!$A$4:$A$103,0)),IF($H167/$S167&gt;=INDEX(Regras!$K$4:$K$103,MATCH($D167,Regras!$A$4:$A$103,0)),INDEX(Regras!$M$4:$M$103,MATCH($D167,Regras!$A$4:$A$103,0)),0)),""))</f>
        <v/>
      </c>
      <c r="W167" s="27">
        <f>IF($AG167&lt;&gt;"Pronta","",SUM($T167:$V167))</f>
        <v/>
      </c>
      <c r="X167" s="27">
        <f>IF($AG167&lt;&gt;"Pronta","",IFERROR(MAX(-INDEX(Regras!$N$4:$N$103,MATCH($D167,Regras!$A$4:$A$103,0)),MIN(INDEX(Regras!$N$4:$N$103,MATCH($D167,Regras!$A$4:$A$103,0)),$W167)),""))</f>
        <v/>
      </c>
      <c r="Y167" s="19">
        <f>IF($AG167&lt;&gt;"Pronta","",IFERROR(ROUND($E167*(1+$X167),2),""))</f>
        <v/>
      </c>
      <c r="Z167" s="29">
        <f>IF(OR($AG167&lt;&gt;"Pronta",$Q167="",$R167=""),"",IFERROR(ROUND(MIN($R167,MAX($Q167,$Y167)),2),""))</f>
        <v/>
      </c>
      <c r="AA167" s="27">
        <f>IF(OR($E167="",$Z167=""),"",IFERROR($Z167/$E167-1,""))</f>
        <v/>
      </c>
      <c r="AB167" s="26">
        <f>IF($Z167="","",IF($Y167&lt;$Q167,"Piso",IF($Y167&gt;$R167,"Teto","Nenhuma")))</f>
        <v/>
      </c>
      <c r="AC167" s="21">
        <f>IF($A167="","",IF($AG167&lt;&gt;"Pronta","Aguardando dados válidos",_xlfn.TEXTJOIN(" | ",TRUE,IF($T167&gt;0,"Demanda: aumento",IF($T167&lt;0,"Demanda: redução","")),IF($U167&gt;0,"Concorrência: aumento",IF($U167&lt;0,"Concorrência: redução","")),IF($V167&gt;0,"Estoque: aumento",IF($V167&lt;0,"Estoque: redução","")),IF(ABS($W167-$X167)&gt;0.0000001,"Limite da rodada aplicado",""),IF($AB167="Piso","Piso vigente aplicado",IF($AB167="Teto","Teto aplicado","")),IF(AND($T167=0,$U167=0,$V167=0),"Sem gatilho de reajuste",""))))</f>
        <v/>
      </c>
      <c r="AD167" s="21">
        <f>IF(OR($A167="",$AG167&lt;&gt;"Pronta"),"",_xlfn.TEXTJOIN(" | ",TRUE,IF($E167&lt;$Q167,"Preço atual abaixo do piso",""),IF($E167&gt;$R167,"Preço atual acima do teto",""),IF(AND($N167&gt;0,$E167&gt;0,1-$N167/$E167&lt;$O167),"Margem estimada do preço atual abaixo do mínimo",""),IF($G167="","Preço concorrente não informado",""),IF($AB167="Piso","Recomendação travada no piso",""),IF($AB167="Teto","Recomendação travada no teto","")))</f>
        <v/>
      </c>
      <c r="AE167" s="19">
        <f>IF($AG167&lt;&gt;"Pronta","",IF($I167="Aprovar recomendação",$Z167,IF($I167="Manter preço atual",$E167,IF($I167="Definir manualmente",$J167,""))))</f>
        <v/>
      </c>
      <c r="AF167" s="21">
        <f>IF($A167="","",IF($AG167&lt;&gt;"Pronta","Aguardando correção",IF(OR($I167="",$I167="Pendente"),"Decisão pendente",IF(AND($I167="Definir manualmente",OR($J167="",$J167&lt;=0)),"Informe o preço manual",IF(OR($AE167&lt;$Q167,$AE167&gt;$R167),"Preço final fora do piso/teto","OK")))))</f>
        <v/>
      </c>
      <c r="AG167" s="26">
        <f>IF(COUNTA($A167:$K167)=0,"",IF(OR($A167="",$B167="",$C167="",$D167="",$E167="",$F167="",$H167=""),"Incompleta",IF(OR(COUNTIF($A$5:$A$204,$A167)&gt;1,NOT(ISNUMBER($B167)),COUNTIF(Produtos!$A$4:$A$103,$C167)&lt;&gt;1,IFERROR(INDEX(Produtos!$K$4:$K$103,MATCH($C167,Produtos!$A$4:$A$103,0))&lt;&gt;"Ativo",TRUE),IFERROR(INDEX(Produtos!$L$4:$L$103,MATCH($C167,Produtos!$A$4:$A$103,0))&lt;&gt;"OK",TRUE),COUNTIF(Regras!$A$4:$A$103,$D167)&lt;&gt;1,IFERROR(INDEX(Regras!$O$4:$O$103,MATCH($D167,Regras!$A$4:$A$103,0))&lt;&gt;"Sim",TRUE),IFERROR(INDEX(Regras!$P$4:$P$103,MATCH($D167,Regras!$A$4:$A$103,0))&lt;&gt;"OK",TRUE),NOT(ISNUMBER($E167)),$E167&lt;=0,NOT(ISNUMBER($F167)),$F167&lt;0,$F167&gt;5,NOT(ISNUMBER($H167)),$H167&lt;0,$H167&lt;&gt;INT($H167),AND($G167&lt;&gt;"",OR(NOT(ISNUMBER($G167)),$G167&lt;=0))),"Revisar","Pronta")))</f>
        <v/>
      </c>
    </row>
    <row r="168">
      <c r="A168" s="16" t="n"/>
      <c r="B168" s="24" t="n"/>
      <c r="C168" s="16" t="n"/>
      <c r="D168" s="16" t="n"/>
      <c r="E168" s="17" t="n"/>
      <c r="F168" s="18" t="n"/>
      <c r="G168" s="17" t="n"/>
      <c r="H168" s="20" t="n"/>
      <c r="I168" s="16" t="n"/>
      <c r="J168" s="17" t="n"/>
      <c r="K168" s="25" t="n"/>
      <c r="L168" s="26">
        <f>IF($C168="","",IFERROR(INDEX(Produtos!$B$4:$B$103,MATCH($C168,Produtos!$A$4:$A$103,0)),""))</f>
        <v/>
      </c>
      <c r="M168" s="26">
        <f>IF($C168="","",IFERROR(INDEX(Produtos!$C$4:$C$103,MATCH($C168,Produtos!$A$4:$A$103,0)),""))</f>
        <v/>
      </c>
      <c r="N168" s="19">
        <f>IF($C168="","",IFERROR(INDEX(Produtos!$D$4:$D$103,MATCH($C168,Produtos!$A$4:$A$103,0)),""))</f>
        <v/>
      </c>
      <c r="O168" s="27">
        <f>IF($C168="","",IFERROR(INDEX(Produtos!$E$4:$E$103,MATCH($C168,Produtos!$A$4:$A$103,0)),""))</f>
        <v/>
      </c>
      <c r="P168" s="19">
        <f>IF($C168="","",IFERROR(INDEX(Produtos!$G$4:$G$103,MATCH($C168,Produtos!$A$4:$A$103,0)),""))</f>
        <v/>
      </c>
      <c r="Q168" s="19">
        <f>IF($C168="","",IFERROR(INDEX(Produtos!$H$4:$H$103,MATCH($C168,Produtos!$A$4:$A$103,0)),""))</f>
        <v/>
      </c>
      <c r="R168" s="19">
        <f>IF($C168="","",IFERROR(INDEX(Produtos!$I$4:$I$103,MATCH($C168,Produtos!$A$4:$A$103,0)),""))</f>
        <v/>
      </c>
      <c r="S168" s="28">
        <f>IF($C168="","",IFERROR(INDEX(Produtos!$J$4:$J$103,MATCH($C168,Produtos!$A$4:$A$103,0)),""))</f>
        <v/>
      </c>
      <c r="T168" s="27">
        <f>IF($AG168&lt;&gt;"Pronta","",IFERROR(IF($F168&lt;=INDEX(Regras!$C$4:$C$103,MATCH($D168,Regras!$A$4:$A$103,0)),INDEX(Regras!$E$4:$E$103,MATCH($D168,Regras!$A$4:$A$103,0)),IF($F168&gt;=INDEX(Regras!$D$4:$D$103,MATCH($D168,Regras!$A$4:$A$103,0)),INDEX(Regras!$F$4:$F$103,MATCH($D168,Regras!$A$4:$A$103,0)),0)),""))</f>
        <v/>
      </c>
      <c r="U168" s="27">
        <f>IF($AG168&lt;&gt;"Pronta","",IFERROR(IF($G168="",0,IF($G168&lt;=$E168*(1-INDEX(Regras!$G$4:$G$103,MATCH($D168,Regras!$A$4:$A$103,0))),INDEX(Regras!$H$4:$H$103,MATCH($D168,Regras!$A$4:$A$103,0)),IF($G168&gt;=$E168*(1+INDEX(Regras!$G$4:$G$103,MATCH($D168,Regras!$A$4:$A$103,0))),INDEX(Regras!$I$4:$I$103,MATCH($D168,Regras!$A$4:$A$103,0)),0))),""))</f>
        <v/>
      </c>
      <c r="V168" s="27">
        <f>IF($AG168&lt;&gt;"Pronta","",IFERROR(IF($H168/$S168&lt;=INDEX(Regras!$J$4:$J$103,MATCH($D168,Regras!$A$4:$A$103,0)),INDEX(Regras!$L$4:$L$103,MATCH($D168,Regras!$A$4:$A$103,0)),IF($H168/$S168&gt;=INDEX(Regras!$K$4:$K$103,MATCH($D168,Regras!$A$4:$A$103,0)),INDEX(Regras!$M$4:$M$103,MATCH($D168,Regras!$A$4:$A$103,0)),0)),""))</f>
        <v/>
      </c>
      <c r="W168" s="27">
        <f>IF($AG168&lt;&gt;"Pronta","",SUM($T168:$V168))</f>
        <v/>
      </c>
      <c r="X168" s="27">
        <f>IF($AG168&lt;&gt;"Pronta","",IFERROR(MAX(-INDEX(Regras!$N$4:$N$103,MATCH($D168,Regras!$A$4:$A$103,0)),MIN(INDEX(Regras!$N$4:$N$103,MATCH($D168,Regras!$A$4:$A$103,0)),$W168)),""))</f>
        <v/>
      </c>
      <c r="Y168" s="19">
        <f>IF($AG168&lt;&gt;"Pronta","",IFERROR(ROUND($E168*(1+$X168),2),""))</f>
        <v/>
      </c>
      <c r="Z168" s="29">
        <f>IF(OR($AG168&lt;&gt;"Pronta",$Q168="",$R168=""),"",IFERROR(ROUND(MIN($R168,MAX($Q168,$Y168)),2),""))</f>
        <v/>
      </c>
      <c r="AA168" s="27">
        <f>IF(OR($E168="",$Z168=""),"",IFERROR($Z168/$E168-1,""))</f>
        <v/>
      </c>
      <c r="AB168" s="26">
        <f>IF($Z168="","",IF($Y168&lt;$Q168,"Piso",IF($Y168&gt;$R168,"Teto","Nenhuma")))</f>
        <v/>
      </c>
      <c r="AC168" s="21">
        <f>IF($A168="","",IF($AG168&lt;&gt;"Pronta","Aguardando dados válidos",_xlfn.TEXTJOIN(" | ",TRUE,IF($T168&gt;0,"Demanda: aumento",IF($T168&lt;0,"Demanda: redução","")),IF($U168&gt;0,"Concorrência: aumento",IF($U168&lt;0,"Concorrência: redução","")),IF($V168&gt;0,"Estoque: aumento",IF($V168&lt;0,"Estoque: redução","")),IF(ABS($W168-$X168)&gt;0.0000001,"Limite da rodada aplicado",""),IF($AB168="Piso","Piso vigente aplicado",IF($AB168="Teto","Teto aplicado","")),IF(AND($T168=0,$U168=0,$V168=0),"Sem gatilho de reajuste",""))))</f>
        <v/>
      </c>
      <c r="AD168" s="21">
        <f>IF(OR($A168="",$AG168&lt;&gt;"Pronta"),"",_xlfn.TEXTJOIN(" | ",TRUE,IF($E168&lt;$Q168,"Preço atual abaixo do piso",""),IF($E168&gt;$R168,"Preço atual acima do teto",""),IF(AND($N168&gt;0,$E168&gt;0,1-$N168/$E168&lt;$O168),"Margem estimada do preço atual abaixo do mínimo",""),IF($G168="","Preço concorrente não informado",""),IF($AB168="Piso","Recomendação travada no piso",""),IF($AB168="Teto","Recomendação travada no teto","")))</f>
        <v/>
      </c>
      <c r="AE168" s="19">
        <f>IF($AG168&lt;&gt;"Pronta","",IF($I168="Aprovar recomendação",$Z168,IF($I168="Manter preço atual",$E168,IF($I168="Definir manualmente",$J168,""))))</f>
        <v/>
      </c>
      <c r="AF168" s="21">
        <f>IF($A168="","",IF($AG168&lt;&gt;"Pronta","Aguardando correção",IF(OR($I168="",$I168="Pendente"),"Decisão pendente",IF(AND($I168="Definir manualmente",OR($J168="",$J168&lt;=0)),"Informe o preço manual",IF(OR($AE168&lt;$Q168,$AE168&gt;$R168),"Preço final fora do piso/teto","OK")))))</f>
        <v/>
      </c>
      <c r="AG168" s="26">
        <f>IF(COUNTA($A168:$K168)=0,"",IF(OR($A168="",$B168="",$C168="",$D168="",$E168="",$F168="",$H168=""),"Incompleta",IF(OR(COUNTIF($A$5:$A$204,$A168)&gt;1,NOT(ISNUMBER($B168)),COUNTIF(Produtos!$A$4:$A$103,$C168)&lt;&gt;1,IFERROR(INDEX(Produtos!$K$4:$K$103,MATCH($C168,Produtos!$A$4:$A$103,0))&lt;&gt;"Ativo",TRUE),IFERROR(INDEX(Produtos!$L$4:$L$103,MATCH($C168,Produtos!$A$4:$A$103,0))&lt;&gt;"OK",TRUE),COUNTIF(Regras!$A$4:$A$103,$D168)&lt;&gt;1,IFERROR(INDEX(Regras!$O$4:$O$103,MATCH($D168,Regras!$A$4:$A$103,0))&lt;&gt;"Sim",TRUE),IFERROR(INDEX(Regras!$P$4:$P$103,MATCH($D168,Regras!$A$4:$A$103,0))&lt;&gt;"OK",TRUE),NOT(ISNUMBER($E168)),$E168&lt;=0,NOT(ISNUMBER($F168)),$F168&lt;0,$F168&gt;5,NOT(ISNUMBER($H168)),$H168&lt;0,$H168&lt;&gt;INT($H168),AND($G168&lt;&gt;"",OR(NOT(ISNUMBER($G168)),$G168&lt;=0))),"Revisar","Pronta")))</f>
        <v/>
      </c>
    </row>
    <row r="169">
      <c r="A169" s="16" t="n"/>
      <c r="B169" s="24" t="n"/>
      <c r="C169" s="16" t="n"/>
      <c r="D169" s="16" t="n"/>
      <c r="E169" s="17" t="n"/>
      <c r="F169" s="18" t="n"/>
      <c r="G169" s="17" t="n"/>
      <c r="H169" s="20" t="n"/>
      <c r="I169" s="16" t="n"/>
      <c r="J169" s="17" t="n"/>
      <c r="K169" s="25" t="n"/>
      <c r="L169" s="26">
        <f>IF($C169="","",IFERROR(INDEX(Produtos!$B$4:$B$103,MATCH($C169,Produtos!$A$4:$A$103,0)),""))</f>
        <v/>
      </c>
      <c r="M169" s="26">
        <f>IF($C169="","",IFERROR(INDEX(Produtos!$C$4:$C$103,MATCH($C169,Produtos!$A$4:$A$103,0)),""))</f>
        <v/>
      </c>
      <c r="N169" s="19">
        <f>IF($C169="","",IFERROR(INDEX(Produtos!$D$4:$D$103,MATCH($C169,Produtos!$A$4:$A$103,0)),""))</f>
        <v/>
      </c>
      <c r="O169" s="27">
        <f>IF($C169="","",IFERROR(INDEX(Produtos!$E$4:$E$103,MATCH($C169,Produtos!$A$4:$A$103,0)),""))</f>
        <v/>
      </c>
      <c r="P169" s="19">
        <f>IF($C169="","",IFERROR(INDEX(Produtos!$G$4:$G$103,MATCH($C169,Produtos!$A$4:$A$103,0)),""))</f>
        <v/>
      </c>
      <c r="Q169" s="19">
        <f>IF($C169="","",IFERROR(INDEX(Produtos!$H$4:$H$103,MATCH($C169,Produtos!$A$4:$A$103,0)),""))</f>
        <v/>
      </c>
      <c r="R169" s="19">
        <f>IF($C169="","",IFERROR(INDEX(Produtos!$I$4:$I$103,MATCH($C169,Produtos!$A$4:$A$103,0)),""))</f>
        <v/>
      </c>
      <c r="S169" s="28">
        <f>IF($C169="","",IFERROR(INDEX(Produtos!$J$4:$J$103,MATCH($C169,Produtos!$A$4:$A$103,0)),""))</f>
        <v/>
      </c>
      <c r="T169" s="27">
        <f>IF($AG169&lt;&gt;"Pronta","",IFERROR(IF($F169&lt;=INDEX(Regras!$C$4:$C$103,MATCH($D169,Regras!$A$4:$A$103,0)),INDEX(Regras!$E$4:$E$103,MATCH($D169,Regras!$A$4:$A$103,0)),IF($F169&gt;=INDEX(Regras!$D$4:$D$103,MATCH($D169,Regras!$A$4:$A$103,0)),INDEX(Regras!$F$4:$F$103,MATCH($D169,Regras!$A$4:$A$103,0)),0)),""))</f>
        <v/>
      </c>
      <c r="U169" s="27">
        <f>IF($AG169&lt;&gt;"Pronta","",IFERROR(IF($G169="",0,IF($G169&lt;=$E169*(1-INDEX(Regras!$G$4:$G$103,MATCH($D169,Regras!$A$4:$A$103,0))),INDEX(Regras!$H$4:$H$103,MATCH($D169,Regras!$A$4:$A$103,0)),IF($G169&gt;=$E169*(1+INDEX(Regras!$G$4:$G$103,MATCH($D169,Regras!$A$4:$A$103,0))),INDEX(Regras!$I$4:$I$103,MATCH($D169,Regras!$A$4:$A$103,0)),0))),""))</f>
        <v/>
      </c>
      <c r="V169" s="27">
        <f>IF($AG169&lt;&gt;"Pronta","",IFERROR(IF($H169/$S169&lt;=INDEX(Regras!$J$4:$J$103,MATCH($D169,Regras!$A$4:$A$103,0)),INDEX(Regras!$L$4:$L$103,MATCH($D169,Regras!$A$4:$A$103,0)),IF($H169/$S169&gt;=INDEX(Regras!$K$4:$K$103,MATCH($D169,Regras!$A$4:$A$103,0)),INDEX(Regras!$M$4:$M$103,MATCH($D169,Regras!$A$4:$A$103,0)),0)),""))</f>
        <v/>
      </c>
      <c r="W169" s="27">
        <f>IF($AG169&lt;&gt;"Pronta","",SUM($T169:$V169))</f>
        <v/>
      </c>
      <c r="X169" s="27">
        <f>IF($AG169&lt;&gt;"Pronta","",IFERROR(MAX(-INDEX(Regras!$N$4:$N$103,MATCH($D169,Regras!$A$4:$A$103,0)),MIN(INDEX(Regras!$N$4:$N$103,MATCH($D169,Regras!$A$4:$A$103,0)),$W169)),""))</f>
        <v/>
      </c>
      <c r="Y169" s="19">
        <f>IF($AG169&lt;&gt;"Pronta","",IFERROR(ROUND($E169*(1+$X169),2),""))</f>
        <v/>
      </c>
      <c r="Z169" s="29">
        <f>IF(OR($AG169&lt;&gt;"Pronta",$Q169="",$R169=""),"",IFERROR(ROUND(MIN($R169,MAX($Q169,$Y169)),2),""))</f>
        <v/>
      </c>
      <c r="AA169" s="27">
        <f>IF(OR($E169="",$Z169=""),"",IFERROR($Z169/$E169-1,""))</f>
        <v/>
      </c>
      <c r="AB169" s="26">
        <f>IF($Z169="","",IF($Y169&lt;$Q169,"Piso",IF($Y169&gt;$R169,"Teto","Nenhuma")))</f>
        <v/>
      </c>
      <c r="AC169" s="21">
        <f>IF($A169="","",IF($AG169&lt;&gt;"Pronta","Aguardando dados válidos",_xlfn.TEXTJOIN(" | ",TRUE,IF($T169&gt;0,"Demanda: aumento",IF($T169&lt;0,"Demanda: redução","")),IF($U169&gt;0,"Concorrência: aumento",IF($U169&lt;0,"Concorrência: redução","")),IF($V169&gt;0,"Estoque: aumento",IF($V169&lt;0,"Estoque: redução","")),IF(ABS($W169-$X169)&gt;0.0000001,"Limite da rodada aplicado",""),IF($AB169="Piso","Piso vigente aplicado",IF($AB169="Teto","Teto aplicado","")),IF(AND($T169=0,$U169=0,$V169=0),"Sem gatilho de reajuste",""))))</f>
        <v/>
      </c>
      <c r="AD169" s="21">
        <f>IF(OR($A169="",$AG169&lt;&gt;"Pronta"),"",_xlfn.TEXTJOIN(" | ",TRUE,IF($E169&lt;$Q169,"Preço atual abaixo do piso",""),IF($E169&gt;$R169,"Preço atual acima do teto",""),IF(AND($N169&gt;0,$E169&gt;0,1-$N169/$E169&lt;$O169),"Margem estimada do preço atual abaixo do mínimo",""),IF($G169="","Preço concorrente não informado",""),IF($AB169="Piso","Recomendação travada no piso",""),IF($AB169="Teto","Recomendação travada no teto","")))</f>
        <v/>
      </c>
      <c r="AE169" s="19">
        <f>IF($AG169&lt;&gt;"Pronta","",IF($I169="Aprovar recomendação",$Z169,IF($I169="Manter preço atual",$E169,IF($I169="Definir manualmente",$J169,""))))</f>
        <v/>
      </c>
      <c r="AF169" s="21">
        <f>IF($A169="","",IF($AG169&lt;&gt;"Pronta","Aguardando correção",IF(OR($I169="",$I169="Pendente"),"Decisão pendente",IF(AND($I169="Definir manualmente",OR($J169="",$J169&lt;=0)),"Informe o preço manual",IF(OR($AE169&lt;$Q169,$AE169&gt;$R169),"Preço final fora do piso/teto","OK")))))</f>
        <v/>
      </c>
      <c r="AG169" s="26">
        <f>IF(COUNTA($A169:$K169)=0,"",IF(OR($A169="",$B169="",$C169="",$D169="",$E169="",$F169="",$H169=""),"Incompleta",IF(OR(COUNTIF($A$5:$A$204,$A169)&gt;1,NOT(ISNUMBER($B169)),COUNTIF(Produtos!$A$4:$A$103,$C169)&lt;&gt;1,IFERROR(INDEX(Produtos!$K$4:$K$103,MATCH($C169,Produtos!$A$4:$A$103,0))&lt;&gt;"Ativo",TRUE),IFERROR(INDEX(Produtos!$L$4:$L$103,MATCH($C169,Produtos!$A$4:$A$103,0))&lt;&gt;"OK",TRUE),COUNTIF(Regras!$A$4:$A$103,$D169)&lt;&gt;1,IFERROR(INDEX(Regras!$O$4:$O$103,MATCH($D169,Regras!$A$4:$A$103,0))&lt;&gt;"Sim",TRUE),IFERROR(INDEX(Regras!$P$4:$P$103,MATCH($D169,Regras!$A$4:$A$103,0))&lt;&gt;"OK",TRUE),NOT(ISNUMBER($E169)),$E169&lt;=0,NOT(ISNUMBER($F169)),$F169&lt;0,$F169&gt;5,NOT(ISNUMBER($H169)),$H169&lt;0,$H169&lt;&gt;INT($H169),AND($G169&lt;&gt;"",OR(NOT(ISNUMBER($G169)),$G169&lt;=0))),"Revisar","Pronta")))</f>
        <v/>
      </c>
    </row>
    <row r="170">
      <c r="A170" s="16" t="n"/>
      <c r="B170" s="24" t="n"/>
      <c r="C170" s="16" t="n"/>
      <c r="D170" s="16" t="n"/>
      <c r="E170" s="17" t="n"/>
      <c r="F170" s="18" t="n"/>
      <c r="G170" s="17" t="n"/>
      <c r="H170" s="20" t="n"/>
      <c r="I170" s="16" t="n"/>
      <c r="J170" s="17" t="n"/>
      <c r="K170" s="25" t="n"/>
      <c r="L170" s="26">
        <f>IF($C170="","",IFERROR(INDEX(Produtos!$B$4:$B$103,MATCH($C170,Produtos!$A$4:$A$103,0)),""))</f>
        <v/>
      </c>
      <c r="M170" s="26">
        <f>IF($C170="","",IFERROR(INDEX(Produtos!$C$4:$C$103,MATCH($C170,Produtos!$A$4:$A$103,0)),""))</f>
        <v/>
      </c>
      <c r="N170" s="19">
        <f>IF($C170="","",IFERROR(INDEX(Produtos!$D$4:$D$103,MATCH($C170,Produtos!$A$4:$A$103,0)),""))</f>
        <v/>
      </c>
      <c r="O170" s="27">
        <f>IF($C170="","",IFERROR(INDEX(Produtos!$E$4:$E$103,MATCH($C170,Produtos!$A$4:$A$103,0)),""))</f>
        <v/>
      </c>
      <c r="P170" s="19">
        <f>IF($C170="","",IFERROR(INDEX(Produtos!$G$4:$G$103,MATCH($C170,Produtos!$A$4:$A$103,0)),""))</f>
        <v/>
      </c>
      <c r="Q170" s="19">
        <f>IF($C170="","",IFERROR(INDEX(Produtos!$H$4:$H$103,MATCH($C170,Produtos!$A$4:$A$103,0)),""))</f>
        <v/>
      </c>
      <c r="R170" s="19">
        <f>IF($C170="","",IFERROR(INDEX(Produtos!$I$4:$I$103,MATCH($C170,Produtos!$A$4:$A$103,0)),""))</f>
        <v/>
      </c>
      <c r="S170" s="28">
        <f>IF($C170="","",IFERROR(INDEX(Produtos!$J$4:$J$103,MATCH($C170,Produtos!$A$4:$A$103,0)),""))</f>
        <v/>
      </c>
      <c r="T170" s="27">
        <f>IF($AG170&lt;&gt;"Pronta","",IFERROR(IF($F170&lt;=INDEX(Regras!$C$4:$C$103,MATCH($D170,Regras!$A$4:$A$103,0)),INDEX(Regras!$E$4:$E$103,MATCH($D170,Regras!$A$4:$A$103,0)),IF($F170&gt;=INDEX(Regras!$D$4:$D$103,MATCH($D170,Regras!$A$4:$A$103,0)),INDEX(Regras!$F$4:$F$103,MATCH($D170,Regras!$A$4:$A$103,0)),0)),""))</f>
        <v/>
      </c>
      <c r="U170" s="27">
        <f>IF($AG170&lt;&gt;"Pronta","",IFERROR(IF($G170="",0,IF($G170&lt;=$E170*(1-INDEX(Regras!$G$4:$G$103,MATCH($D170,Regras!$A$4:$A$103,0))),INDEX(Regras!$H$4:$H$103,MATCH($D170,Regras!$A$4:$A$103,0)),IF($G170&gt;=$E170*(1+INDEX(Regras!$G$4:$G$103,MATCH($D170,Regras!$A$4:$A$103,0))),INDEX(Regras!$I$4:$I$103,MATCH($D170,Regras!$A$4:$A$103,0)),0))),""))</f>
        <v/>
      </c>
      <c r="V170" s="27">
        <f>IF($AG170&lt;&gt;"Pronta","",IFERROR(IF($H170/$S170&lt;=INDEX(Regras!$J$4:$J$103,MATCH($D170,Regras!$A$4:$A$103,0)),INDEX(Regras!$L$4:$L$103,MATCH($D170,Regras!$A$4:$A$103,0)),IF($H170/$S170&gt;=INDEX(Regras!$K$4:$K$103,MATCH($D170,Regras!$A$4:$A$103,0)),INDEX(Regras!$M$4:$M$103,MATCH($D170,Regras!$A$4:$A$103,0)),0)),""))</f>
        <v/>
      </c>
      <c r="W170" s="27">
        <f>IF($AG170&lt;&gt;"Pronta","",SUM($T170:$V170))</f>
        <v/>
      </c>
      <c r="X170" s="27">
        <f>IF($AG170&lt;&gt;"Pronta","",IFERROR(MAX(-INDEX(Regras!$N$4:$N$103,MATCH($D170,Regras!$A$4:$A$103,0)),MIN(INDEX(Regras!$N$4:$N$103,MATCH($D170,Regras!$A$4:$A$103,0)),$W170)),""))</f>
        <v/>
      </c>
      <c r="Y170" s="19">
        <f>IF($AG170&lt;&gt;"Pronta","",IFERROR(ROUND($E170*(1+$X170),2),""))</f>
        <v/>
      </c>
      <c r="Z170" s="29">
        <f>IF(OR($AG170&lt;&gt;"Pronta",$Q170="",$R170=""),"",IFERROR(ROUND(MIN($R170,MAX($Q170,$Y170)),2),""))</f>
        <v/>
      </c>
      <c r="AA170" s="27">
        <f>IF(OR($E170="",$Z170=""),"",IFERROR($Z170/$E170-1,""))</f>
        <v/>
      </c>
      <c r="AB170" s="26">
        <f>IF($Z170="","",IF($Y170&lt;$Q170,"Piso",IF($Y170&gt;$R170,"Teto","Nenhuma")))</f>
        <v/>
      </c>
      <c r="AC170" s="21">
        <f>IF($A170="","",IF($AG170&lt;&gt;"Pronta","Aguardando dados válidos",_xlfn.TEXTJOIN(" | ",TRUE,IF($T170&gt;0,"Demanda: aumento",IF($T170&lt;0,"Demanda: redução","")),IF($U170&gt;0,"Concorrência: aumento",IF($U170&lt;0,"Concorrência: redução","")),IF($V170&gt;0,"Estoque: aumento",IF($V170&lt;0,"Estoque: redução","")),IF(ABS($W170-$X170)&gt;0.0000001,"Limite da rodada aplicado",""),IF($AB170="Piso","Piso vigente aplicado",IF($AB170="Teto","Teto aplicado","")),IF(AND($T170=0,$U170=0,$V170=0),"Sem gatilho de reajuste",""))))</f>
        <v/>
      </c>
      <c r="AD170" s="21">
        <f>IF(OR($A170="",$AG170&lt;&gt;"Pronta"),"",_xlfn.TEXTJOIN(" | ",TRUE,IF($E170&lt;$Q170,"Preço atual abaixo do piso",""),IF($E170&gt;$R170,"Preço atual acima do teto",""),IF(AND($N170&gt;0,$E170&gt;0,1-$N170/$E170&lt;$O170),"Margem estimada do preço atual abaixo do mínimo",""),IF($G170="","Preço concorrente não informado",""),IF($AB170="Piso","Recomendação travada no piso",""),IF($AB170="Teto","Recomendação travada no teto","")))</f>
        <v/>
      </c>
      <c r="AE170" s="19">
        <f>IF($AG170&lt;&gt;"Pronta","",IF($I170="Aprovar recomendação",$Z170,IF($I170="Manter preço atual",$E170,IF($I170="Definir manualmente",$J170,""))))</f>
        <v/>
      </c>
      <c r="AF170" s="21">
        <f>IF($A170="","",IF($AG170&lt;&gt;"Pronta","Aguardando correção",IF(OR($I170="",$I170="Pendente"),"Decisão pendente",IF(AND($I170="Definir manualmente",OR($J170="",$J170&lt;=0)),"Informe o preço manual",IF(OR($AE170&lt;$Q170,$AE170&gt;$R170),"Preço final fora do piso/teto","OK")))))</f>
        <v/>
      </c>
      <c r="AG170" s="26">
        <f>IF(COUNTA($A170:$K170)=0,"",IF(OR($A170="",$B170="",$C170="",$D170="",$E170="",$F170="",$H170=""),"Incompleta",IF(OR(COUNTIF($A$5:$A$204,$A170)&gt;1,NOT(ISNUMBER($B170)),COUNTIF(Produtos!$A$4:$A$103,$C170)&lt;&gt;1,IFERROR(INDEX(Produtos!$K$4:$K$103,MATCH($C170,Produtos!$A$4:$A$103,0))&lt;&gt;"Ativo",TRUE),IFERROR(INDEX(Produtos!$L$4:$L$103,MATCH($C170,Produtos!$A$4:$A$103,0))&lt;&gt;"OK",TRUE),COUNTIF(Regras!$A$4:$A$103,$D170)&lt;&gt;1,IFERROR(INDEX(Regras!$O$4:$O$103,MATCH($D170,Regras!$A$4:$A$103,0))&lt;&gt;"Sim",TRUE),IFERROR(INDEX(Regras!$P$4:$P$103,MATCH($D170,Regras!$A$4:$A$103,0))&lt;&gt;"OK",TRUE),NOT(ISNUMBER($E170)),$E170&lt;=0,NOT(ISNUMBER($F170)),$F170&lt;0,$F170&gt;5,NOT(ISNUMBER($H170)),$H170&lt;0,$H170&lt;&gt;INT($H170),AND($G170&lt;&gt;"",OR(NOT(ISNUMBER($G170)),$G170&lt;=0))),"Revisar","Pronta")))</f>
        <v/>
      </c>
    </row>
    <row r="171">
      <c r="A171" s="16" t="n"/>
      <c r="B171" s="24" t="n"/>
      <c r="C171" s="16" t="n"/>
      <c r="D171" s="16" t="n"/>
      <c r="E171" s="17" t="n"/>
      <c r="F171" s="18" t="n"/>
      <c r="G171" s="17" t="n"/>
      <c r="H171" s="20" t="n"/>
      <c r="I171" s="16" t="n"/>
      <c r="J171" s="17" t="n"/>
      <c r="K171" s="25" t="n"/>
      <c r="L171" s="26">
        <f>IF($C171="","",IFERROR(INDEX(Produtos!$B$4:$B$103,MATCH($C171,Produtos!$A$4:$A$103,0)),""))</f>
        <v/>
      </c>
      <c r="M171" s="26">
        <f>IF($C171="","",IFERROR(INDEX(Produtos!$C$4:$C$103,MATCH($C171,Produtos!$A$4:$A$103,0)),""))</f>
        <v/>
      </c>
      <c r="N171" s="19">
        <f>IF($C171="","",IFERROR(INDEX(Produtos!$D$4:$D$103,MATCH($C171,Produtos!$A$4:$A$103,0)),""))</f>
        <v/>
      </c>
      <c r="O171" s="27">
        <f>IF($C171="","",IFERROR(INDEX(Produtos!$E$4:$E$103,MATCH($C171,Produtos!$A$4:$A$103,0)),""))</f>
        <v/>
      </c>
      <c r="P171" s="19">
        <f>IF($C171="","",IFERROR(INDEX(Produtos!$G$4:$G$103,MATCH($C171,Produtos!$A$4:$A$103,0)),""))</f>
        <v/>
      </c>
      <c r="Q171" s="19">
        <f>IF($C171="","",IFERROR(INDEX(Produtos!$H$4:$H$103,MATCH($C171,Produtos!$A$4:$A$103,0)),""))</f>
        <v/>
      </c>
      <c r="R171" s="19">
        <f>IF($C171="","",IFERROR(INDEX(Produtos!$I$4:$I$103,MATCH($C171,Produtos!$A$4:$A$103,0)),""))</f>
        <v/>
      </c>
      <c r="S171" s="28">
        <f>IF($C171="","",IFERROR(INDEX(Produtos!$J$4:$J$103,MATCH($C171,Produtos!$A$4:$A$103,0)),""))</f>
        <v/>
      </c>
      <c r="T171" s="27">
        <f>IF($AG171&lt;&gt;"Pronta","",IFERROR(IF($F171&lt;=INDEX(Regras!$C$4:$C$103,MATCH($D171,Regras!$A$4:$A$103,0)),INDEX(Regras!$E$4:$E$103,MATCH($D171,Regras!$A$4:$A$103,0)),IF($F171&gt;=INDEX(Regras!$D$4:$D$103,MATCH($D171,Regras!$A$4:$A$103,0)),INDEX(Regras!$F$4:$F$103,MATCH($D171,Regras!$A$4:$A$103,0)),0)),""))</f>
        <v/>
      </c>
      <c r="U171" s="27">
        <f>IF($AG171&lt;&gt;"Pronta","",IFERROR(IF($G171="",0,IF($G171&lt;=$E171*(1-INDEX(Regras!$G$4:$G$103,MATCH($D171,Regras!$A$4:$A$103,0))),INDEX(Regras!$H$4:$H$103,MATCH($D171,Regras!$A$4:$A$103,0)),IF($G171&gt;=$E171*(1+INDEX(Regras!$G$4:$G$103,MATCH($D171,Regras!$A$4:$A$103,0))),INDEX(Regras!$I$4:$I$103,MATCH($D171,Regras!$A$4:$A$103,0)),0))),""))</f>
        <v/>
      </c>
      <c r="V171" s="27">
        <f>IF($AG171&lt;&gt;"Pronta","",IFERROR(IF($H171/$S171&lt;=INDEX(Regras!$J$4:$J$103,MATCH($D171,Regras!$A$4:$A$103,0)),INDEX(Regras!$L$4:$L$103,MATCH($D171,Regras!$A$4:$A$103,0)),IF($H171/$S171&gt;=INDEX(Regras!$K$4:$K$103,MATCH($D171,Regras!$A$4:$A$103,0)),INDEX(Regras!$M$4:$M$103,MATCH($D171,Regras!$A$4:$A$103,0)),0)),""))</f>
        <v/>
      </c>
      <c r="W171" s="27">
        <f>IF($AG171&lt;&gt;"Pronta","",SUM($T171:$V171))</f>
        <v/>
      </c>
      <c r="X171" s="27">
        <f>IF($AG171&lt;&gt;"Pronta","",IFERROR(MAX(-INDEX(Regras!$N$4:$N$103,MATCH($D171,Regras!$A$4:$A$103,0)),MIN(INDEX(Regras!$N$4:$N$103,MATCH($D171,Regras!$A$4:$A$103,0)),$W171)),""))</f>
        <v/>
      </c>
      <c r="Y171" s="19">
        <f>IF($AG171&lt;&gt;"Pronta","",IFERROR(ROUND($E171*(1+$X171),2),""))</f>
        <v/>
      </c>
      <c r="Z171" s="29">
        <f>IF(OR($AG171&lt;&gt;"Pronta",$Q171="",$R171=""),"",IFERROR(ROUND(MIN($R171,MAX($Q171,$Y171)),2),""))</f>
        <v/>
      </c>
      <c r="AA171" s="27">
        <f>IF(OR($E171="",$Z171=""),"",IFERROR($Z171/$E171-1,""))</f>
        <v/>
      </c>
      <c r="AB171" s="26">
        <f>IF($Z171="","",IF($Y171&lt;$Q171,"Piso",IF($Y171&gt;$R171,"Teto","Nenhuma")))</f>
        <v/>
      </c>
      <c r="AC171" s="21">
        <f>IF($A171="","",IF($AG171&lt;&gt;"Pronta","Aguardando dados válidos",_xlfn.TEXTJOIN(" | ",TRUE,IF($T171&gt;0,"Demanda: aumento",IF($T171&lt;0,"Demanda: redução","")),IF($U171&gt;0,"Concorrência: aumento",IF($U171&lt;0,"Concorrência: redução","")),IF($V171&gt;0,"Estoque: aumento",IF($V171&lt;0,"Estoque: redução","")),IF(ABS($W171-$X171)&gt;0.0000001,"Limite da rodada aplicado",""),IF($AB171="Piso","Piso vigente aplicado",IF($AB171="Teto","Teto aplicado","")),IF(AND($T171=0,$U171=0,$V171=0),"Sem gatilho de reajuste",""))))</f>
        <v/>
      </c>
      <c r="AD171" s="21">
        <f>IF(OR($A171="",$AG171&lt;&gt;"Pronta"),"",_xlfn.TEXTJOIN(" | ",TRUE,IF($E171&lt;$Q171,"Preço atual abaixo do piso",""),IF($E171&gt;$R171,"Preço atual acima do teto",""),IF(AND($N171&gt;0,$E171&gt;0,1-$N171/$E171&lt;$O171),"Margem estimada do preço atual abaixo do mínimo",""),IF($G171="","Preço concorrente não informado",""),IF($AB171="Piso","Recomendação travada no piso",""),IF($AB171="Teto","Recomendação travada no teto","")))</f>
        <v/>
      </c>
      <c r="AE171" s="19">
        <f>IF($AG171&lt;&gt;"Pronta","",IF($I171="Aprovar recomendação",$Z171,IF($I171="Manter preço atual",$E171,IF($I171="Definir manualmente",$J171,""))))</f>
        <v/>
      </c>
      <c r="AF171" s="21">
        <f>IF($A171="","",IF($AG171&lt;&gt;"Pronta","Aguardando correção",IF(OR($I171="",$I171="Pendente"),"Decisão pendente",IF(AND($I171="Definir manualmente",OR($J171="",$J171&lt;=0)),"Informe o preço manual",IF(OR($AE171&lt;$Q171,$AE171&gt;$R171),"Preço final fora do piso/teto","OK")))))</f>
        <v/>
      </c>
      <c r="AG171" s="26">
        <f>IF(COUNTA($A171:$K171)=0,"",IF(OR($A171="",$B171="",$C171="",$D171="",$E171="",$F171="",$H171=""),"Incompleta",IF(OR(COUNTIF($A$5:$A$204,$A171)&gt;1,NOT(ISNUMBER($B171)),COUNTIF(Produtos!$A$4:$A$103,$C171)&lt;&gt;1,IFERROR(INDEX(Produtos!$K$4:$K$103,MATCH($C171,Produtos!$A$4:$A$103,0))&lt;&gt;"Ativo",TRUE),IFERROR(INDEX(Produtos!$L$4:$L$103,MATCH($C171,Produtos!$A$4:$A$103,0))&lt;&gt;"OK",TRUE),COUNTIF(Regras!$A$4:$A$103,$D171)&lt;&gt;1,IFERROR(INDEX(Regras!$O$4:$O$103,MATCH($D171,Regras!$A$4:$A$103,0))&lt;&gt;"Sim",TRUE),IFERROR(INDEX(Regras!$P$4:$P$103,MATCH($D171,Regras!$A$4:$A$103,0))&lt;&gt;"OK",TRUE),NOT(ISNUMBER($E171)),$E171&lt;=0,NOT(ISNUMBER($F171)),$F171&lt;0,$F171&gt;5,NOT(ISNUMBER($H171)),$H171&lt;0,$H171&lt;&gt;INT($H171),AND($G171&lt;&gt;"",OR(NOT(ISNUMBER($G171)),$G171&lt;=0))),"Revisar","Pronta")))</f>
        <v/>
      </c>
    </row>
    <row r="172">
      <c r="A172" s="16" t="n"/>
      <c r="B172" s="24" t="n"/>
      <c r="C172" s="16" t="n"/>
      <c r="D172" s="16" t="n"/>
      <c r="E172" s="17" t="n"/>
      <c r="F172" s="18" t="n"/>
      <c r="G172" s="17" t="n"/>
      <c r="H172" s="20" t="n"/>
      <c r="I172" s="16" t="n"/>
      <c r="J172" s="17" t="n"/>
      <c r="K172" s="25" t="n"/>
      <c r="L172" s="26">
        <f>IF($C172="","",IFERROR(INDEX(Produtos!$B$4:$B$103,MATCH($C172,Produtos!$A$4:$A$103,0)),""))</f>
        <v/>
      </c>
      <c r="M172" s="26">
        <f>IF($C172="","",IFERROR(INDEX(Produtos!$C$4:$C$103,MATCH($C172,Produtos!$A$4:$A$103,0)),""))</f>
        <v/>
      </c>
      <c r="N172" s="19">
        <f>IF($C172="","",IFERROR(INDEX(Produtos!$D$4:$D$103,MATCH($C172,Produtos!$A$4:$A$103,0)),""))</f>
        <v/>
      </c>
      <c r="O172" s="27">
        <f>IF($C172="","",IFERROR(INDEX(Produtos!$E$4:$E$103,MATCH($C172,Produtos!$A$4:$A$103,0)),""))</f>
        <v/>
      </c>
      <c r="P172" s="19">
        <f>IF($C172="","",IFERROR(INDEX(Produtos!$G$4:$G$103,MATCH($C172,Produtos!$A$4:$A$103,0)),""))</f>
        <v/>
      </c>
      <c r="Q172" s="19">
        <f>IF($C172="","",IFERROR(INDEX(Produtos!$H$4:$H$103,MATCH($C172,Produtos!$A$4:$A$103,0)),""))</f>
        <v/>
      </c>
      <c r="R172" s="19">
        <f>IF($C172="","",IFERROR(INDEX(Produtos!$I$4:$I$103,MATCH($C172,Produtos!$A$4:$A$103,0)),""))</f>
        <v/>
      </c>
      <c r="S172" s="28">
        <f>IF($C172="","",IFERROR(INDEX(Produtos!$J$4:$J$103,MATCH($C172,Produtos!$A$4:$A$103,0)),""))</f>
        <v/>
      </c>
      <c r="T172" s="27">
        <f>IF($AG172&lt;&gt;"Pronta","",IFERROR(IF($F172&lt;=INDEX(Regras!$C$4:$C$103,MATCH($D172,Regras!$A$4:$A$103,0)),INDEX(Regras!$E$4:$E$103,MATCH($D172,Regras!$A$4:$A$103,0)),IF($F172&gt;=INDEX(Regras!$D$4:$D$103,MATCH($D172,Regras!$A$4:$A$103,0)),INDEX(Regras!$F$4:$F$103,MATCH($D172,Regras!$A$4:$A$103,0)),0)),""))</f>
        <v/>
      </c>
      <c r="U172" s="27">
        <f>IF($AG172&lt;&gt;"Pronta","",IFERROR(IF($G172="",0,IF($G172&lt;=$E172*(1-INDEX(Regras!$G$4:$G$103,MATCH($D172,Regras!$A$4:$A$103,0))),INDEX(Regras!$H$4:$H$103,MATCH($D172,Regras!$A$4:$A$103,0)),IF($G172&gt;=$E172*(1+INDEX(Regras!$G$4:$G$103,MATCH($D172,Regras!$A$4:$A$103,0))),INDEX(Regras!$I$4:$I$103,MATCH($D172,Regras!$A$4:$A$103,0)),0))),""))</f>
        <v/>
      </c>
      <c r="V172" s="27">
        <f>IF($AG172&lt;&gt;"Pronta","",IFERROR(IF($H172/$S172&lt;=INDEX(Regras!$J$4:$J$103,MATCH($D172,Regras!$A$4:$A$103,0)),INDEX(Regras!$L$4:$L$103,MATCH($D172,Regras!$A$4:$A$103,0)),IF($H172/$S172&gt;=INDEX(Regras!$K$4:$K$103,MATCH($D172,Regras!$A$4:$A$103,0)),INDEX(Regras!$M$4:$M$103,MATCH($D172,Regras!$A$4:$A$103,0)),0)),""))</f>
        <v/>
      </c>
      <c r="W172" s="27">
        <f>IF($AG172&lt;&gt;"Pronta","",SUM($T172:$V172))</f>
        <v/>
      </c>
      <c r="X172" s="27">
        <f>IF($AG172&lt;&gt;"Pronta","",IFERROR(MAX(-INDEX(Regras!$N$4:$N$103,MATCH($D172,Regras!$A$4:$A$103,0)),MIN(INDEX(Regras!$N$4:$N$103,MATCH($D172,Regras!$A$4:$A$103,0)),$W172)),""))</f>
        <v/>
      </c>
      <c r="Y172" s="19">
        <f>IF($AG172&lt;&gt;"Pronta","",IFERROR(ROUND($E172*(1+$X172),2),""))</f>
        <v/>
      </c>
      <c r="Z172" s="29">
        <f>IF(OR($AG172&lt;&gt;"Pronta",$Q172="",$R172=""),"",IFERROR(ROUND(MIN($R172,MAX($Q172,$Y172)),2),""))</f>
        <v/>
      </c>
      <c r="AA172" s="27">
        <f>IF(OR($E172="",$Z172=""),"",IFERROR($Z172/$E172-1,""))</f>
        <v/>
      </c>
      <c r="AB172" s="26">
        <f>IF($Z172="","",IF($Y172&lt;$Q172,"Piso",IF($Y172&gt;$R172,"Teto","Nenhuma")))</f>
        <v/>
      </c>
      <c r="AC172" s="21">
        <f>IF($A172="","",IF($AG172&lt;&gt;"Pronta","Aguardando dados válidos",_xlfn.TEXTJOIN(" | ",TRUE,IF($T172&gt;0,"Demanda: aumento",IF($T172&lt;0,"Demanda: redução","")),IF($U172&gt;0,"Concorrência: aumento",IF($U172&lt;0,"Concorrência: redução","")),IF($V172&gt;0,"Estoque: aumento",IF($V172&lt;0,"Estoque: redução","")),IF(ABS($W172-$X172)&gt;0.0000001,"Limite da rodada aplicado",""),IF($AB172="Piso","Piso vigente aplicado",IF($AB172="Teto","Teto aplicado","")),IF(AND($T172=0,$U172=0,$V172=0),"Sem gatilho de reajuste",""))))</f>
        <v/>
      </c>
      <c r="AD172" s="21">
        <f>IF(OR($A172="",$AG172&lt;&gt;"Pronta"),"",_xlfn.TEXTJOIN(" | ",TRUE,IF($E172&lt;$Q172,"Preço atual abaixo do piso",""),IF($E172&gt;$R172,"Preço atual acima do teto",""),IF(AND($N172&gt;0,$E172&gt;0,1-$N172/$E172&lt;$O172),"Margem estimada do preço atual abaixo do mínimo",""),IF($G172="","Preço concorrente não informado",""),IF($AB172="Piso","Recomendação travada no piso",""),IF($AB172="Teto","Recomendação travada no teto","")))</f>
        <v/>
      </c>
      <c r="AE172" s="19">
        <f>IF($AG172&lt;&gt;"Pronta","",IF($I172="Aprovar recomendação",$Z172,IF($I172="Manter preço atual",$E172,IF($I172="Definir manualmente",$J172,""))))</f>
        <v/>
      </c>
      <c r="AF172" s="21">
        <f>IF($A172="","",IF($AG172&lt;&gt;"Pronta","Aguardando correção",IF(OR($I172="",$I172="Pendente"),"Decisão pendente",IF(AND($I172="Definir manualmente",OR($J172="",$J172&lt;=0)),"Informe o preço manual",IF(OR($AE172&lt;$Q172,$AE172&gt;$R172),"Preço final fora do piso/teto","OK")))))</f>
        <v/>
      </c>
      <c r="AG172" s="26">
        <f>IF(COUNTA($A172:$K172)=0,"",IF(OR($A172="",$B172="",$C172="",$D172="",$E172="",$F172="",$H172=""),"Incompleta",IF(OR(COUNTIF($A$5:$A$204,$A172)&gt;1,NOT(ISNUMBER($B172)),COUNTIF(Produtos!$A$4:$A$103,$C172)&lt;&gt;1,IFERROR(INDEX(Produtos!$K$4:$K$103,MATCH($C172,Produtos!$A$4:$A$103,0))&lt;&gt;"Ativo",TRUE),IFERROR(INDEX(Produtos!$L$4:$L$103,MATCH($C172,Produtos!$A$4:$A$103,0))&lt;&gt;"OK",TRUE),COUNTIF(Regras!$A$4:$A$103,$D172)&lt;&gt;1,IFERROR(INDEX(Regras!$O$4:$O$103,MATCH($D172,Regras!$A$4:$A$103,0))&lt;&gt;"Sim",TRUE),IFERROR(INDEX(Regras!$P$4:$P$103,MATCH($D172,Regras!$A$4:$A$103,0))&lt;&gt;"OK",TRUE),NOT(ISNUMBER($E172)),$E172&lt;=0,NOT(ISNUMBER($F172)),$F172&lt;0,$F172&gt;5,NOT(ISNUMBER($H172)),$H172&lt;0,$H172&lt;&gt;INT($H172),AND($G172&lt;&gt;"",OR(NOT(ISNUMBER($G172)),$G172&lt;=0))),"Revisar","Pronta")))</f>
        <v/>
      </c>
    </row>
    <row r="173">
      <c r="A173" s="16" t="n"/>
      <c r="B173" s="24" t="n"/>
      <c r="C173" s="16" t="n"/>
      <c r="D173" s="16" t="n"/>
      <c r="E173" s="17" t="n"/>
      <c r="F173" s="18" t="n"/>
      <c r="G173" s="17" t="n"/>
      <c r="H173" s="20" t="n"/>
      <c r="I173" s="16" t="n"/>
      <c r="J173" s="17" t="n"/>
      <c r="K173" s="25" t="n"/>
      <c r="L173" s="26">
        <f>IF($C173="","",IFERROR(INDEX(Produtos!$B$4:$B$103,MATCH($C173,Produtos!$A$4:$A$103,0)),""))</f>
        <v/>
      </c>
      <c r="M173" s="26">
        <f>IF($C173="","",IFERROR(INDEX(Produtos!$C$4:$C$103,MATCH($C173,Produtos!$A$4:$A$103,0)),""))</f>
        <v/>
      </c>
      <c r="N173" s="19">
        <f>IF($C173="","",IFERROR(INDEX(Produtos!$D$4:$D$103,MATCH($C173,Produtos!$A$4:$A$103,0)),""))</f>
        <v/>
      </c>
      <c r="O173" s="27">
        <f>IF($C173="","",IFERROR(INDEX(Produtos!$E$4:$E$103,MATCH($C173,Produtos!$A$4:$A$103,0)),""))</f>
        <v/>
      </c>
      <c r="P173" s="19">
        <f>IF($C173="","",IFERROR(INDEX(Produtos!$G$4:$G$103,MATCH($C173,Produtos!$A$4:$A$103,0)),""))</f>
        <v/>
      </c>
      <c r="Q173" s="19">
        <f>IF($C173="","",IFERROR(INDEX(Produtos!$H$4:$H$103,MATCH($C173,Produtos!$A$4:$A$103,0)),""))</f>
        <v/>
      </c>
      <c r="R173" s="19">
        <f>IF($C173="","",IFERROR(INDEX(Produtos!$I$4:$I$103,MATCH($C173,Produtos!$A$4:$A$103,0)),""))</f>
        <v/>
      </c>
      <c r="S173" s="28">
        <f>IF($C173="","",IFERROR(INDEX(Produtos!$J$4:$J$103,MATCH($C173,Produtos!$A$4:$A$103,0)),""))</f>
        <v/>
      </c>
      <c r="T173" s="27">
        <f>IF($AG173&lt;&gt;"Pronta","",IFERROR(IF($F173&lt;=INDEX(Regras!$C$4:$C$103,MATCH($D173,Regras!$A$4:$A$103,0)),INDEX(Regras!$E$4:$E$103,MATCH($D173,Regras!$A$4:$A$103,0)),IF($F173&gt;=INDEX(Regras!$D$4:$D$103,MATCH($D173,Regras!$A$4:$A$103,0)),INDEX(Regras!$F$4:$F$103,MATCH($D173,Regras!$A$4:$A$103,0)),0)),""))</f>
        <v/>
      </c>
      <c r="U173" s="27">
        <f>IF($AG173&lt;&gt;"Pronta","",IFERROR(IF($G173="",0,IF($G173&lt;=$E173*(1-INDEX(Regras!$G$4:$G$103,MATCH($D173,Regras!$A$4:$A$103,0))),INDEX(Regras!$H$4:$H$103,MATCH($D173,Regras!$A$4:$A$103,0)),IF($G173&gt;=$E173*(1+INDEX(Regras!$G$4:$G$103,MATCH($D173,Regras!$A$4:$A$103,0))),INDEX(Regras!$I$4:$I$103,MATCH($D173,Regras!$A$4:$A$103,0)),0))),""))</f>
        <v/>
      </c>
      <c r="V173" s="27">
        <f>IF($AG173&lt;&gt;"Pronta","",IFERROR(IF($H173/$S173&lt;=INDEX(Regras!$J$4:$J$103,MATCH($D173,Regras!$A$4:$A$103,0)),INDEX(Regras!$L$4:$L$103,MATCH($D173,Regras!$A$4:$A$103,0)),IF($H173/$S173&gt;=INDEX(Regras!$K$4:$K$103,MATCH($D173,Regras!$A$4:$A$103,0)),INDEX(Regras!$M$4:$M$103,MATCH($D173,Regras!$A$4:$A$103,0)),0)),""))</f>
        <v/>
      </c>
      <c r="W173" s="27">
        <f>IF($AG173&lt;&gt;"Pronta","",SUM($T173:$V173))</f>
        <v/>
      </c>
      <c r="X173" s="27">
        <f>IF($AG173&lt;&gt;"Pronta","",IFERROR(MAX(-INDEX(Regras!$N$4:$N$103,MATCH($D173,Regras!$A$4:$A$103,0)),MIN(INDEX(Regras!$N$4:$N$103,MATCH($D173,Regras!$A$4:$A$103,0)),$W173)),""))</f>
        <v/>
      </c>
      <c r="Y173" s="19">
        <f>IF($AG173&lt;&gt;"Pronta","",IFERROR(ROUND($E173*(1+$X173),2),""))</f>
        <v/>
      </c>
      <c r="Z173" s="29">
        <f>IF(OR($AG173&lt;&gt;"Pronta",$Q173="",$R173=""),"",IFERROR(ROUND(MIN($R173,MAX($Q173,$Y173)),2),""))</f>
        <v/>
      </c>
      <c r="AA173" s="27">
        <f>IF(OR($E173="",$Z173=""),"",IFERROR($Z173/$E173-1,""))</f>
        <v/>
      </c>
      <c r="AB173" s="26">
        <f>IF($Z173="","",IF($Y173&lt;$Q173,"Piso",IF($Y173&gt;$R173,"Teto","Nenhuma")))</f>
        <v/>
      </c>
      <c r="AC173" s="21">
        <f>IF($A173="","",IF($AG173&lt;&gt;"Pronta","Aguardando dados válidos",_xlfn.TEXTJOIN(" | ",TRUE,IF($T173&gt;0,"Demanda: aumento",IF($T173&lt;0,"Demanda: redução","")),IF($U173&gt;0,"Concorrência: aumento",IF($U173&lt;0,"Concorrência: redução","")),IF($V173&gt;0,"Estoque: aumento",IF($V173&lt;0,"Estoque: redução","")),IF(ABS($W173-$X173)&gt;0.0000001,"Limite da rodada aplicado",""),IF($AB173="Piso","Piso vigente aplicado",IF($AB173="Teto","Teto aplicado","")),IF(AND($T173=0,$U173=0,$V173=0),"Sem gatilho de reajuste",""))))</f>
        <v/>
      </c>
      <c r="AD173" s="21">
        <f>IF(OR($A173="",$AG173&lt;&gt;"Pronta"),"",_xlfn.TEXTJOIN(" | ",TRUE,IF($E173&lt;$Q173,"Preço atual abaixo do piso",""),IF($E173&gt;$R173,"Preço atual acima do teto",""),IF(AND($N173&gt;0,$E173&gt;0,1-$N173/$E173&lt;$O173),"Margem estimada do preço atual abaixo do mínimo",""),IF($G173="","Preço concorrente não informado",""),IF($AB173="Piso","Recomendação travada no piso",""),IF($AB173="Teto","Recomendação travada no teto","")))</f>
        <v/>
      </c>
      <c r="AE173" s="19">
        <f>IF($AG173&lt;&gt;"Pronta","",IF($I173="Aprovar recomendação",$Z173,IF($I173="Manter preço atual",$E173,IF($I173="Definir manualmente",$J173,""))))</f>
        <v/>
      </c>
      <c r="AF173" s="21">
        <f>IF($A173="","",IF($AG173&lt;&gt;"Pronta","Aguardando correção",IF(OR($I173="",$I173="Pendente"),"Decisão pendente",IF(AND($I173="Definir manualmente",OR($J173="",$J173&lt;=0)),"Informe o preço manual",IF(OR($AE173&lt;$Q173,$AE173&gt;$R173),"Preço final fora do piso/teto","OK")))))</f>
        <v/>
      </c>
      <c r="AG173" s="26">
        <f>IF(COUNTA($A173:$K173)=0,"",IF(OR($A173="",$B173="",$C173="",$D173="",$E173="",$F173="",$H173=""),"Incompleta",IF(OR(COUNTIF($A$5:$A$204,$A173)&gt;1,NOT(ISNUMBER($B173)),COUNTIF(Produtos!$A$4:$A$103,$C173)&lt;&gt;1,IFERROR(INDEX(Produtos!$K$4:$K$103,MATCH($C173,Produtos!$A$4:$A$103,0))&lt;&gt;"Ativo",TRUE),IFERROR(INDEX(Produtos!$L$4:$L$103,MATCH($C173,Produtos!$A$4:$A$103,0))&lt;&gt;"OK",TRUE),COUNTIF(Regras!$A$4:$A$103,$D173)&lt;&gt;1,IFERROR(INDEX(Regras!$O$4:$O$103,MATCH($D173,Regras!$A$4:$A$103,0))&lt;&gt;"Sim",TRUE),IFERROR(INDEX(Regras!$P$4:$P$103,MATCH($D173,Regras!$A$4:$A$103,0))&lt;&gt;"OK",TRUE),NOT(ISNUMBER($E173)),$E173&lt;=0,NOT(ISNUMBER($F173)),$F173&lt;0,$F173&gt;5,NOT(ISNUMBER($H173)),$H173&lt;0,$H173&lt;&gt;INT($H173),AND($G173&lt;&gt;"",OR(NOT(ISNUMBER($G173)),$G173&lt;=0))),"Revisar","Pronta")))</f>
        <v/>
      </c>
    </row>
    <row r="174">
      <c r="A174" s="16" t="n"/>
      <c r="B174" s="24" t="n"/>
      <c r="C174" s="16" t="n"/>
      <c r="D174" s="16" t="n"/>
      <c r="E174" s="17" t="n"/>
      <c r="F174" s="18" t="n"/>
      <c r="G174" s="17" t="n"/>
      <c r="H174" s="20" t="n"/>
      <c r="I174" s="16" t="n"/>
      <c r="J174" s="17" t="n"/>
      <c r="K174" s="25" t="n"/>
      <c r="L174" s="26">
        <f>IF($C174="","",IFERROR(INDEX(Produtos!$B$4:$B$103,MATCH($C174,Produtos!$A$4:$A$103,0)),""))</f>
        <v/>
      </c>
      <c r="M174" s="26">
        <f>IF($C174="","",IFERROR(INDEX(Produtos!$C$4:$C$103,MATCH($C174,Produtos!$A$4:$A$103,0)),""))</f>
        <v/>
      </c>
      <c r="N174" s="19">
        <f>IF($C174="","",IFERROR(INDEX(Produtos!$D$4:$D$103,MATCH($C174,Produtos!$A$4:$A$103,0)),""))</f>
        <v/>
      </c>
      <c r="O174" s="27">
        <f>IF($C174="","",IFERROR(INDEX(Produtos!$E$4:$E$103,MATCH($C174,Produtos!$A$4:$A$103,0)),""))</f>
        <v/>
      </c>
      <c r="P174" s="19">
        <f>IF($C174="","",IFERROR(INDEX(Produtos!$G$4:$G$103,MATCH($C174,Produtos!$A$4:$A$103,0)),""))</f>
        <v/>
      </c>
      <c r="Q174" s="19">
        <f>IF($C174="","",IFERROR(INDEX(Produtos!$H$4:$H$103,MATCH($C174,Produtos!$A$4:$A$103,0)),""))</f>
        <v/>
      </c>
      <c r="R174" s="19">
        <f>IF($C174="","",IFERROR(INDEX(Produtos!$I$4:$I$103,MATCH($C174,Produtos!$A$4:$A$103,0)),""))</f>
        <v/>
      </c>
      <c r="S174" s="28">
        <f>IF($C174="","",IFERROR(INDEX(Produtos!$J$4:$J$103,MATCH($C174,Produtos!$A$4:$A$103,0)),""))</f>
        <v/>
      </c>
      <c r="T174" s="27">
        <f>IF($AG174&lt;&gt;"Pronta","",IFERROR(IF($F174&lt;=INDEX(Regras!$C$4:$C$103,MATCH($D174,Regras!$A$4:$A$103,0)),INDEX(Regras!$E$4:$E$103,MATCH($D174,Regras!$A$4:$A$103,0)),IF($F174&gt;=INDEX(Regras!$D$4:$D$103,MATCH($D174,Regras!$A$4:$A$103,0)),INDEX(Regras!$F$4:$F$103,MATCH($D174,Regras!$A$4:$A$103,0)),0)),""))</f>
        <v/>
      </c>
      <c r="U174" s="27">
        <f>IF($AG174&lt;&gt;"Pronta","",IFERROR(IF($G174="",0,IF($G174&lt;=$E174*(1-INDEX(Regras!$G$4:$G$103,MATCH($D174,Regras!$A$4:$A$103,0))),INDEX(Regras!$H$4:$H$103,MATCH($D174,Regras!$A$4:$A$103,0)),IF($G174&gt;=$E174*(1+INDEX(Regras!$G$4:$G$103,MATCH($D174,Regras!$A$4:$A$103,0))),INDEX(Regras!$I$4:$I$103,MATCH($D174,Regras!$A$4:$A$103,0)),0))),""))</f>
        <v/>
      </c>
      <c r="V174" s="27">
        <f>IF($AG174&lt;&gt;"Pronta","",IFERROR(IF($H174/$S174&lt;=INDEX(Regras!$J$4:$J$103,MATCH($D174,Regras!$A$4:$A$103,0)),INDEX(Regras!$L$4:$L$103,MATCH($D174,Regras!$A$4:$A$103,0)),IF($H174/$S174&gt;=INDEX(Regras!$K$4:$K$103,MATCH($D174,Regras!$A$4:$A$103,0)),INDEX(Regras!$M$4:$M$103,MATCH($D174,Regras!$A$4:$A$103,0)),0)),""))</f>
        <v/>
      </c>
      <c r="W174" s="27">
        <f>IF($AG174&lt;&gt;"Pronta","",SUM($T174:$V174))</f>
        <v/>
      </c>
      <c r="X174" s="27">
        <f>IF($AG174&lt;&gt;"Pronta","",IFERROR(MAX(-INDEX(Regras!$N$4:$N$103,MATCH($D174,Regras!$A$4:$A$103,0)),MIN(INDEX(Regras!$N$4:$N$103,MATCH($D174,Regras!$A$4:$A$103,0)),$W174)),""))</f>
        <v/>
      </c>
      <c r="Y174" s="19">
        <f>IF($AG174&lt;&gt;"Pronta","",IFERROR(ROUND($E174*(1+$X174),2),""))</f>
        <v/>
      </c>
      <c r="Z174" s="29">
        <f>IF(OR($AG174&lt;&gt;"Pronta",$Q174="",$R174=""),"",IFERROR(ROUND(MIN($R174,MAX($Q174,$Y174)),2),""))</f>
        <v/>
      </c>
      <c r="AA174" s="27">
        <f>IF(OR($E174="",$Z174=""),"",IFERROR($Z174/$E174-1,""))</f>
        <v/>
      </c>
      <c r="AB174" s="26">
        <f>IF($Z174="","",IF($Y174&lt;$Q174,"Piso",IF($Y174&gt;$R174,"Teto","Nenhuma")))</f>
        <v/>
      </c>
      <c r="AC174" s="21">
        <f>IF($A174="","",IF($AG174&lt;&gt;"Pronta","Aguardando dados válidos",_xlfn.TEXTJOIN(" | ",TRUE,IF($T174&gt;0,"Demanda: aumento",IF($T174&lt;0,"Demanda: redução","")),IF($U174&gt;0,"Concorrência: aumento",IF($U174&lt;0,"Concorrência: redução","")),IF($V174&gt;0,"Estoque: aumento",IF($V174&lt;0,"Estoque: redução","")),IF(ABS($W174-$X174)&gt;0.0000001,"Limite da rodada aplicado",""),IF($AB174="Piso","Piso vigente aplicado",IF($AB174="Teto","Teto aplicado","")),IF(AND($T174=0,$U174=0,$V174=0),"Sem gatilho de reajuste",""))))</f>
        <v/>
      </c>
      <c r="AD174" s="21">
        <f>IF(OR($A174="",$AG174&lt;&gt;"Pronta"),"",_xlfn.TEXTJOIN(" | ",TRUE,IF($E174&lt;$Q174,"Preço atual abaixo do piso",""),IF($E174&gt;$R174,"Preço atual acima do teto",""),IF(AND($N174&gt;0,$E174&gt;0,1-$N174/$E174&lt;$O174),"Margem estimada do preço atual abaixo do mínimo",""),IF($G174="","Preço concorrente não informado",""),IF($AB174="Piso","Recomendação travada no piso",""),IF($AB174="Teto","Recomendação travada no teto","")))</f>
        <v/>
      </c>
      <c r="AE174" s="19">
        <f>IF($AG174&lt;&gt;"Pronta","",IF($I174="Aprovar recomendação",$Z174,IF($I174="Manter preço atual",$E174,IF($I174="Definir manualmente",$J174,""))))</f>
        <v/>
      </c>
      <c r="AF174" s="21">
        <f>IF($A174="","",IF($AG174&lt;&gt;"Pronta","Aguardando correção",IF(OR($I174="",$I174="Pendente"),"Decisão pendente",IF(AND($I174="Definir manualmente",OR($J174="",$J174&lt;=0)),"Informe o preço manual",IF(OR($AE174&lt;$Q174,$AE174&gt;$R174),"Preço final fora do piso/teto","OK")))))</f>
        <v/>
      </c>
      <c r="AG174" s="26">
        <f>IF(COUNTA($A174:$K174)=0,"",IF(OR($A174="",$B174="",$C174="",$D174="",$E174="",$F174="",$H174=""),"Incompleta",IF(OR(COUNTIF($A$5:$A$204,$A174)&gt;1,NOT(ISNUMBER($B174)),COUNTIF(Produtos!$A$4:$A$103,$C174)&lt;&gt;1,IFERROR(INDEX(Produtos!$K$4:$K$103,MATCH($C174,Produtos!$A$4:$A$103,0))&lt;&gt;"Ativo",TRUE),IFERROR(INDEX(Produtos!$L$4:$L$103,MATCH($C174,Produtos!$A$4:$A$103,0))&lt;&gt;"OK",TRUE),COUNTIF(Regras!$A$4:$A$103,$D174)&lt;&gt;1,IFERROR(INDEX(Regras!$O$4:$O$103,MATCH($D174,Regras!$A$4:$A$103,0))&lt;&gt;"Sim",TRUE),IFERROR(INDEX(Regras!$P$4:$P$103,MATCH($D174,Regras!$A$4:$A$103,0))&lt;&gt;"OK",TRUE),NOT(ISNUMBER($E174)),$E174&lt;=0,NOT(ISNUMBER($F174)),$F174&lt;0,$F174&gt;5,NOT(ISNUMBER($H174)),$H174&lt;0,$H174&lt;&gt;INT($H174),AND($G174&lt;&gt;"",OR(NOT(ISNUMBER($G174)),$G174&lt;=0))),"Revisar","Pronta")))</f>
        <v/>
      </c>
    </row>
    <row r="175">
      <c r="A175" s="16" t="n"/>
      <c r="B175" s="24" t="n"/>
      <c r="C175" s="16" t="n"/>
      <c r="D175" s="16" t="n"/>
      <c r="E175" s="17" t="n"/>
      <c r="F175" s="18" t="n"/>
      <c r="G175" s="17" t="n"/>
      <c r="H175" s="20" t="n"/>
      <c r="I175" s="16" t="n"/>
      <c r="J175" s="17" t="n"/>
      <c r="K175" s="25" t="n"/>
      <c r="L175" s="26">
        <f>IF($C175="","",IFERROR(INDEX(Produtos!$B$4:$B$103,MATCH($C175,Produtos!$A$4:$A$103,0)),""))</f>
        <v/>
      </c>
      <c r="M175" s="26">
        <f>IF($C175="","",IFERROR(INDEX(Produtos!$C$4:$C$103,MATCH($C175,Produtos!$A$4:$A$103,0)),""))</f>
        <v/>
      </c>
      <c r="N175" s="19">
        <f>IF($C175="","",IFERROR(INDEX(Produtos!$D$4:$D$103,MATCH($C175,Produtos!$A$4:$A$103,0)),""))</f>
        <v/>
      </c>
      <c r="O175" s="27">
        <f>IF($C175="","",IFERROR(INDEX(Produtos!$E$4:$E$103,MATCH($C175,Produtos!$A$4:$A$103,0)),""))</f>
        <v/>
      </c>
      <c r="P175" s="19">
        <f>IF($C175="","",IFERROR(INDEX(Produtos!$G$4:$G$103,MATCH($C175,Produtos!$A$4:$A$103,0)),""))</f>
        <v/>
      </c>
      <c r="Q175" s="19">
        <f>IF($C175="","",IFERROR(INDEX(Produtos!$H$4:$H$103,MATCH($C175,Produtos!$A$4:$A$103,0)),""))</f>
        <v/>
      </c>
      <c r="R175" s="19">
        <f>IF($C175="","",IFERROR(INDEX(Produtos!$I$4:$I$103,MATCH($C175,Produtos!$A$4:$A$103,0)),""))</f>
        <v/>
      </c>
      <c r="S175" s="28">
        <f>IF($C175="","",IFERROR(INDEX(Produtos!$J$4:$J$103,MATCH($C175,Produtos!$A$4:$A$103,0)),""))</f>
        <v/>
      </c>
      <c r="T175" s="27">
        <f>IF($AG175&lt;&gt;"Pronta","",IFERROR(IF($F175&lt;=INDEX(Regras!$C$4:$C$103,MATCH($D175,Regras!$A$4:$A$103,0)),INDEX(Regras!$E$4:$E$103,MATCH($D175,Regras!$A$4:$A$103,0)),IF($F175&gt;=INDEX(Regras!$D$4:$D$103,MATCH($D175,Regras!$A$4:$A$103,0)),INDEX(Regras!$F$4:$F$103,MATCH($D175,Regras!$A$4:$A$103,0)),0)),""))</f>
        <v/>
      </c>
      <c r="U175" s="27">
        <f>IF($AG175&lt;&gt;"Pronta","",IFERROR(IF($G175="",0,IF($G175&lt;=$E175*(1-INDEX(Regras!$G$4:$G$103,MATCH($D175,Regras!$A$4:$A$103,0))),INDEX(Regras!$H$4:$H$103,MATCH($D175,Regras!$A$4:$A$103,0)),IF($G175&gt;=$E175*(1+INDEX(Regras!$G$4:$G$103,MATCH($D175,Regras!$A$4:$A$103,0))),INDEX(Regras!$I$4:$I$103,MATCH($D175,Regras!$A$4:$A$103,0)),0))),""))</f>
        <v/>
      </c>
      <c r="V175" s="27">
        <f>IF($AG175&lt;&gt;"Pronta","",IFERROR(IF($H175/$S175&lt;=INDEX(Regras!$J$4:$J$103,MATCH($D175,Regras!$A$4:$A$103,0)),INDEX(Regras!$L$4:$L$103,MATCH($D175,Regras!$A$4:$A$103,0)),IF($H175/$S175&gt;=INDEX(Regras!$K$4:$K$103,MATCH($D175,Regras!$A$4:$A$103,0)),INDEX(Regras!$M$4:$M$103,MATCH($D175,Regras!$A$4:$A$103,0)),0)),""))</f>
        <v/>
      </c>
      <c r="W175" s="27">
        <f>IF($AG175&lt;&gt;"Pronta","",SUM($T175:$V175))</f>
        <v/>
      </c>
      <c r="X175" s="27">
        <f>IF($AG175&lt;&gt;"Pronta","",IFERROR(MAX(-INDEX(Regras!$N$4:$N$103,MATCH($D175,Regras!$A$4:$A$103,0)),MIN(INDEX(Regras!$N$4:$N$103,MATCH($D175,Regras!$A$4:$A$103,0)),$W175)),""))</f>
        <v/>
      </c>
      <c r="Y175" s="19">
        <f>IF($AG175&lt;&gt;"Pronta","",IFERROR(ROUND($E175*(1+$X175),2),""))</f>
        <v/>
      </c>
      <c r="Z175" s="29">
        <f>IF(OR($AG175&lt;&gt;"Pronta",$Q175="",$R175=""),"",IFERROR(ROUND(MIN($R175,MAX($Q175,$Y175)),2),""))</f>
        <v/>
      </c>
      <c r="AA175" s="27">
        <f>IF(OR($E175="",$Z175=""),"",IFERROR($Z175/$E175-1,""))</f>
        <v/>
      </c>
      <c r="AB175" s="26">
        <f>IF($Z175="","",IF($Y175&lt;$Q175,"Piso",IF($Y175&gt;$R175,"Teto","Nenhuma")))</f>
        <v/>
      </c>
      <c r="AC175" s="21">
        <f>IF($A175="","",IF($AG175&lt;&gt;"Pronta","Aguardando dados válidos",_xlfn.TEXTJOIN(" | ",TRUE,IF($T175&gt;0,"Demanda: aumento",IF($T175&lt;0,"Demanda: redução","")),IF($U175&gt;0,"Concorrência: aumento",IF($U175&lt;0,"Concorrência: redução","")),IF($V175&gt;0,"Estoque: aumento",IF($V175&lt;0,"Estoque: redução","")),IF(ABS($W175-$X175)&gt;0.0000001,"Limite da rodada aplicado",""),IF($AB175="Piso","Piso vigente aplicado",IF($AB175="Teto","Teto aplicado","")),IF(AND($T175=0,$U175=0,$V175=0),"Sem gatilho de reajuste",""))))</f>
        <v/>
      </c>
      <c r="AD175" s="21">
        <f>IF(OR($A175="",$AG175&lt;&gt;"Pronta"),"",_xlfn.TEXTJOIN(" | ",TRUE,IF($E175&lt;$Q175,"Preço atual abaixo do piso",""),IF($E175&gt;$R175,"Preço atual acima do teto",""),IF(AND($N175&gt;0,$E175&gt;0,1-$N175/$E175&lt;$O175),"Margem estimada do preço atual abaixo do mínimo",""),IF($G175="","Preço concorrente não informado",""),IF($AB175="Piso","Recomendação travada no piso",""),IF($AB175="Teto","Recomendação travada no teto","")))</f>
        <v/>
      </c>
      <c r="AE175" s="19">
        <f>IF($AG175&lt;&gt;"Pronta","",IF($I175="Aprovar recomendação",$Z175,IF($I175="Manter preço atual",$E175,IF($I175="Definir manualmente",$J175,""))))</f>
        <v/>
      </c>
      <c r="AF175" s="21">
        <f>IF($A175="","",IF($AG175&lt;&gt;"Pronta","Aguardando correção",IF(OR($I175="",$I175="Pendente"),"Decisão pendente",IF(AND($I175="Definir manualmente",OR($J175="",$J175&lt;=0)),"Informe o preço manual",IF(OR($AE175&lt;$Q175,$AE175&gt;$R175),"Preço final fora do piso/teto","OK")))))</f>
        <v/>
      </c>
      <c r="AG175" s="26">
        <f>IF(COUNTA($A175:$K175)=0,"",IF(OR($A175="",$B175="",$C175="",$D175="",$E175="",$F175="",$H175=""),"Incompleta",IF(OR(COUNTIF($A$5:$A$204,$A175)&gt;1,NOT(ISNUMBER($B175)),COUNTIF(Produtos!$A$4:$A$103,$C175)&lt;&gt;1,IFERROR(INDEX(Produtos!$K$4:$K$103,MATCH($C175,Produtos!$A$4:$A$103,0))&lt;&gt;"Ativo",TRUE),IFERROR(INDEX(Produtos!$L$4:$L$103,MATCH($C175,Produtos!$A$4:$A$103,0))&lt;&gt;"OK",TRUE),COUNTIF(Regras!$A$4:$A$103,$D175)&lt;&gt;1,IFERROR(INDEX(Regras!$O$4:$O$103,MATCH($D175,Regras!$A$4:$A$103,0))&lt;&gt;"Sim",TRUE),IFERROR(INDEX(Regras!$P$4:$P$103,MATCH($D175,Regras!$A$4:$A$103,0))&lt;&gt;"OK",TRUE),NOT(ISNUMBER($E175)),$E175&lt;=0,NOT(ISNUMBER($F175)),$F175&lt;0,$F175&gt;5,NOT(ISNUMBER($H175)),$H175&lt;0,$H175&lt;&gt;INT($H175),AND($G175&lt;&gt;"",OR(NOT(ISNUMBER($G175)),$G175&lt;=0))),"Revisar","Pronta")))</f>
        <v/>
      </c>
    </row>
    <row r="176">
      <c r="A176" s="16" t="n"/>
      <c r="B176" s="24" t="n"/>
      <c r="C176" s="16" t="n"/>
      <c r="D176" s="16" t="n"/>
      <c r="E176" s="17" t="n"/>
      <c r="F176" s="18" t="n"/>
      <c r="G176" s="17" t="n"/>
      <c r="H176" s="20" t="n"/>
      <c r="I176" s="16" t="n"/>
      <c r="J176" s="17" t="n"/>
      <c r="K176" s="25" t="n"/>
      <c r="L176" s="26">
        <f>IF($C176="","",IFERROR(INDEX(Produtos!$B$4:$B$103,MATCH($C176,Produtos!$A$4:$A$103,0)),""))</f>
        <v/>
      </c>
      <c r="M176" s="26">
        <f>IF($C176="","",IFERROR(INDEX(Produtos!$C$4:$C$103,MATCH($C176,Produtos!$A$4:$A$103,0)),""))</f>
        <v/>
      </c>
      <c r="N176" s="19">
        <f>IF($C176="","",IFERROR(INDEX(Produtos!$D$4:$D$103,MATCH($C176,Produtos!$A$4:$A$103,0)),""))</f>
        <v/>
      </c>
      <c r="O176" s="27">
        <f>IF($C176="","",IFERROR(INDEX(Produtos!$E$4:$E$103,MATCH($C176,Produtos!$A$4:$A$103,0)),""))</f>
        <v/>
      </c>
      <c r="P176" s="19">
        <f>IF($C176="","",IFERROR(INDEX(Produtos!$G$4:$G$103,MATCH($C176,Produtos!$A$4:$A$103,0)),""))</f>
        <v/>
      </c>
      <c r="Q176" s="19">
        <f>IF($C176="","",IFERROR(INDEX(Produtos!$H$4:$H$103,MATCH($C176,Produtos!$A$4:$A$103,0)),""))</f>
        <v/>
      </c>
      <c r="R176" s="19">
        <f>IF($C176="","",IFERROR(INDEX(Produtos!$I$4:$I$103,MATCH($C176,Produtos!$A$4:$A$103,0)),""))</f>
        <v/>
      </c>
      <c r="S176" s="28">
        <f>IF($C176="","",IFERROR(INDEX(Produtos!$J$4:$J$103,MATCH($C176,Produtos!$A$4:$A$103,0)),""))</f>
        <v/>
      </c>
      <c r="T176" s="27">
        <f>IF($AG176&lt;&gt;"Pronta","",IFERROR(IF($F176&lt;=INDEX(Regras!$C$4:$C$103,MATCH($D176,Regras!$A$4:$A$103,0)),INDEX(Regras!$E$4:$E$103,MATCH($D176,Regras!$A$4:$A$103,0)),IF($F176&gt;=INDEX(Regras!$D$4:$D$103,MATCH($D176,Regras!$A$4:$A$103,0)),INDEX(Regras!$F$4:$F$103,MATCH($D176,Regras!$A$4:$A$103,0)),0)),""))</f>
        <v/>
      </c>
      <c r="U176" s="27">
        <f>IF($AG176&lt;&gt;"Pronta","",IFERROR(IF($G176="",0,IF($G176&lt;=$E176*(1-INDEX(Regras!$G$4:$G$103,MATCH($D176,Regras!$A$4:$A$103,0))),INDEX(Regras!$H$4:$H$103,MATCH($D176,Regras!$A$4:$A$103,0)),IF($G176&gt;=$E176*(1+INDEX(Regras!$G$4:$G$103,MATCH($D176,Regras!$A$4:$A$103,0))),INDEX(Regras!$I$4:$I$103,MATCH($D176,Regras!$A$4:$A$103,0)),0))),""))</f>
        <v/>
      </c>
      <c r="V176" s="27">
        <f>IF($AG176&lt;&gt;"Pronta","",IFERROR(IF($H176/$S176&lt;=INDEX(Regras!$J$4:$J$103,MATCH($D176,Regras!$A$4:$A$103,0)),INDEX(Regras!$L$4:$L$103,MATCH($D176,Regras!$A$4:$A$103,0)),IF($H176/$S176&gt;=INDEX(Regras!$K$4:$K$103,MATCH($D176,Regras!$A$4:$A$103,0)),INDEX(Regras!$M$4:$M$103,MATCH($D176,Regras!$A$4:$A$103,0)),0)),""))</f>
        <v/>
      </c>
      <c r="W176" s="27">
        <f>IF($AG176&lt;&gt;"Pronta","",SUM($T176:$V176))</f>
        <v/>
      </c>
      <c r="X176" s="27">
        <f>IF($AG176&lt;&gt;"Pronta","",IFERROR(MAX(-INDEX(Regras!$N$4:$N$103,MATCH($D176,Regras!$A$4:$A$103,0)),MIN(INDEX(Regras!$N$4:$N$103,MATCH($D176,Regras!$A$4:$A$103,0)),$W176)),""))</f>
        <v/>
      </c>
      <c r="Y176" s="19">
        <f>IF($AG176&lt;&gt;"Pronta","",IFERROR(ROUND($E176*(1+$X176),2),""))</f>
        <v/>
      </c>
      <c r="Z176" s="29">
        <f>IF(OR($AG176&lt;&gt;"Pronta",$Q176="",$R176=""),"",IFERROR(ROUND(MIN($R176,MAX($Q176,$Y176)),2),""))</f>
        <v/>
      </c>
      <c r="AA176" s="27">
        <f>IF(OR($E176="",$Z176=""),"",IFERROR($Z176/$E176-1,""))</f>
        <v/>
      </c>
      <c r="AB176" s="26">
        <f>IF($Z176="","",IF($Y176&lt;$Q176,"Piso",IF($Y176&gt;$R176,"Teto","Nenhuma")))</f>
        <v/>
      </c>
      <c r="AC176" s="21">
        <f>IF($A176="","",IF($AG176&lt;&gt;"Pronta","Aguardando dados válidos",_xlfn.TEXTJOIN(" | ",TRUE,IF($T176&gt;0,"Demanda: aumento",IF($T176&lt;0,"Demanda: redução","")),IF($U176&gt;0,"Concorrência: aumento",IF($U176&lt;0,"Concorrência: redução","")),IF($V176&gt;0,"Estoque: aumento",IF($V176&lt;0,"Estoque: redução","")),IF(ABS($W176-$X176)&gt;0.0000001,"Limite da rodada aplicado",""),IF($AB176="Piso","Piso vigente aplicado",IF($AB176="Teto","Teto aplicado","")),IF(AND($T176=0,$U176=0,$V176=0),"Sem gatilho de reajuste",""))))</f>
        <v/>
      </c>
      <c r="AD176" s="21">
        <f>IF(OR($A176="",$AG176&lt;&gt;"Pronta"),"",_xlfn.TEXTJOIN(" | ",TRUE,IF($E176&lt;$Q176,"Preço atual abaixo do piso",""),IF($E176&gt;$R176,"Preço atual acima do teto",""),IF(AND($N176&gt;0,$E176&gt;0,1-$N176/$E176&lt;$O176),"Margem estimada do preço atual abaixo do mínimo",""),IF($G176="","Preço concorrente não informado",""),IF($AB176="Piso","Recomendação travada no piso",""),IF($AB176="Teto","Recomendação travada no teto","")))</f>
        <v/>
      </c>
      <c r="AE176" s="19">
        <f>IF($AG176&lt;&gt;"Pronta","",IF($I176="Aprovar recomendação",$Z176,IF($I176="Manter preço atual",$E176,IF($I176="Definir manualmente",$J176,""))))</f>
        <v/>
      </c>
      <c r="AF176" s="21">
        <f>IF($A176="","",IF($AG176&lt;&gt;"Pronta","Aguardando correção",IF(OR($I176="",$I176="Pendente"),"Decisão pendente",IF(AND($I176="Definir manualmente",OR($J176="",$J176&lt;=0)),"Informe o preço manual",IF(OR($AE176&lt;$Q176,$AE176&gt;$R176),"Preço final fora do piso/teto","OK")))))</f>
        <v/>
      </c>
      <c r="AG176" s="26">
        <f>IF(COUNTA($A176:$K176)=0,"",IF(OR($A176="",$B176="",$C176="",$D176="",$E176="",$F176="",$H176=""),"Incompleta",IF(OR(COUNTIF($A$5:$A$204,$A176)&gt;1,NOT(ISNUMBER($B176)),COUNTIF(Produtos!$A$4:$A$103,$C176)&lt;&gt;1,IFERROR(INDEX(Produtos!$K$4:$K$103,MATCH($C176,Produtos!$A$4:$A$103,0))&lt;&gt;"Ativo",TRUE),IFERROR(INDEX(Produtos!$L$4:$L$103,MATCH($C176,Produtos!$A$4:$A$103,0))&lt;&gt;"OK",TRUE),COUNTIF(Regras!$A$4:$A$103,$D176)&lt;&gt;1,IFERROR(INDEX(Regras!$O$4:$O$103,MATCH($D176,Regras!$A$4:$A$103,0))&lt;&gt;"Sim",TRUE),IFERROR(INDEX(Regras!$P$4:$P$103,MATCH($D176,Regras!$A$4:$A$103,0))&lt;&gt;"OK",TRUE),NOT(ISNUMBER($E176)),$E176&lt;=0,NOT(ISNUMBER($F176)),$F176&lt;0,$F176&gt;5,NOT(ISNUMBER($H176)),$H176&lt;0,$H176&lt;&gt;INT($H176),AND($G176&lt;&gt;"",OR(NOT(ISNUMBER($G176)),$G176&lt;=0))),"Revisar","Pronta")))</f>
        <v/>
      </c>
    </row>
    <row r="177">
      <c r="A177" s="16" t="n"/>
      <c r="B177" s="24" t="n"/>
      <c r="C177" s="16" t="n"/>
      <c r="D177" s="16" t="n"/>
      <c r="E177" s="17" t="n"/>
      <c r="F177" s="18" t="n"/>
      <c r="G177" s="17" t="n"/>
      <c r="H177" s="20" t="n"/>
      <c r="I177" s="16" t="n"/>
      <c r="J177" s="17" t="n"/>
      <c r="K177" s="25" t="n"/>
      <c r="L177" s="26">
        <f>IF($C177="","",IFERROR(INDEX(Produtos!$B$4:$B$103,MATCH($C177,Produtos!$A$4:$A$103,0)),""))</f>
        <v/>
      </c>
      <c r="M177" s="26">
        <f>IF($C177="","",IFERROR(INDEX(Produtos!$C$4:$C$103,MATCH($C177,Produtos!$A$4:$A$103,0)),""))</f>
        <v/>
      </c>
      <c r="N177" s="19">
        <f>IF($C177="","",IFERROR(INDEX(Produtos!$D$4:$D$103,MATCH($C177,Produtos!$A$4:$A$103,0)),""))</f>
        <v/>
      </c>
      <c r="O177" s="27">
        <f>IF($C177="","",IFERROR(INDEX(Produtos!$E$4:$E$103,MATCH($C177,Produtos!$A$4:$A$103,0)),""))</f>
        <v/>
      </c>
      <c r="P177" s="19">
        <f>IF($C177="","",IFERROR(INDEX(Produtos!$G$4:$G$103,MATCH($C177,Produtos!$A$4:$A$103,0)),""))</f>
        <v/>
      </c>
      <c r="Q177" s="19">
        <f>IF($C177="","",IFERROR(INDEX(Produtos!$H$4:$H$103,MATCH($C177,Produtos!$A$4:$A$103,0)),""))</f>
        <v/>
      </c>
      <c r="R177" s="19">
        <f>IF($C177="","",IFERROR(INDEX(Produtos!$I$4:$I$103,MATCH($C177,Produtos!$A$4:$A$103,0)),""))</f>
        <v/>
      </c>
      <c r="S177" s="28">
        <f>IF($C177="","",IFERROR(INDEX(Produtos!$J$4:$J$103,MATCH($C177,Produtos!$A$4:$A$103,0)),""))</f>
        <v/>
      </c>
      <c r="T177" s="27">
        <f>IF($AG177&lt;&gt;"Pronta","",IFERROR(IF($F177&lt;=INDEX(Regras!$C$4:$C$103,MATCH($D177,Regras!$A$4:$A$103,0)),INDEX(Regras!$E$4:$E$103,MATCH($D177,Regras!$A$4:$A$103,0)),IF($F177&gt;=INDEX(Regras!$D$4:$D$103,MATCH($D177,Regras!$A$4:$A$103,0)),INDEX(Regras!$F$4:$F$103,MATCH($D177,Regras!$A$4:$A$103,0)),0)),""))</f>
        <v/>
      </c>
      <c r="U177" s="27">
        <f>IF($AG177&lt;&gt;"Pronta","",IFERROR(IF($G177="",0,IF($G177&lt;=$E177*(1-INDEX(Regras!$G$4:$G$103,MATCH($D177,Regras!$A$4:$A$103,0))),INDEX(Regras!$H$4:$H$103,MATCH($D177,Regras!$A$4:$A$103,0)),IF($G177&gt;=$E177*(1+INDEX(Regras!$G$4:$G$103,MATCH($D177,Regras!$A$4:$A$103,0))),INDEX(Regras!$I$4:$I$103,MATCH($D177,Regras!$A$4:$A$103,0)),0))),""))</f>
        <v/>
      </c>
      <c r="V177" s="27">
        <f>IF($AG177&lt;&gt;"Pronta","",IFERROR(IF($H177/$S177&lt;=INDEX(Regras!$J$4:$J$103,MATCH($D177,Regras!$A$4:$A$103,0)),INDEX(Regras!$L$4:$L$103,MATCH($D177,Regras!$A$4:$A$103,0)),IF($H177/$S177&gt;=INDEX(Regras!$K$4:$K$103,MATCH($D177,Regras!$A$4:$A$103,0)),INDEX(Regras!$M$4:$M$103,MATCH($D177,Regras!$A$4:$A$103,0)),0)),""))</f>
        <v/>
      </c>
      <c r="W177" s="27">
        <f>IF($AG177&lt;&gt;"Pronta","",SUM($T177:$V177))</f>
        <v/>
      </c>
      <c r="X177" s="27">
        <f>IF($AG177&lt;&gt;"Pronta","",IFERROR(MAX(-INDEX(Regras!$N$4:$N$103,MATCH($D177,Regras!$A$4:$A$103,0)),MIN(INDEX(Regras!$N$4:$N$103,MATCH($D177,Regras!$A$4:$A$103,0)),$W177)),""))</f>
        <v/>
      </c>
      <c r="Y177" s="19">
        <f>IF($AG177&lt;&gt;"Pronta","",IFERROR(ROUND($E177*(1+$X177),2),""))</f>
        <v/>
      </c>
      <c r="Z177" s="29">
        <f>IF(OR($AG177&lt;&gt;"Pronta",$Q177="",$R177=""),"",IFERROR(ROUND(MIN($R177,MAX($Q177,$Y177)),2),""))</f>
        <v/>
      </c>
      <c r="AA177" s="27">
        <f>IF(OR($E177="",$Z177=""),"",IFERROR($Z177/$E177-1,""))</f>
        <v/>
      </c>
      <c r="AB177" s="26">
        <f>IF($Z177="","",IF($Y177&lt;$Q177,"Piso",IF($Y177&gt;$R177,"Teto","Nenhuma")))</f>
        <v/>
      </c>
      <c r="AC177" s="21">
        <f>IF($A177="","",IF($AG177&lt;&gt;"Pronta","Aguardando dados válidos",_xlfn.TEXTJOIN(" | ",TRUE,IF($T177&gt;0,"Demanda: aumento",IF($T177&lt;0,"Demanda: redução","")),IF($U177&gt;0,"Concorrência: aumento",IF($U177&lt;0,"Concorrência: redução","")),IF($V177&gt;0,"Estoque: aumento",IF($V177&lt;0,"Estoque: redução","")),IF(ABS($W177-$X177)&gt;0.0000001,"Limite da rodada aplicado",""),IF($AB177="Piso","Piso vigente aplicado",IF($AB177="Teto","Teto aplicado","")),IF(AND($T177=0,$U177=0,$V177=0),"Sem gatilho de reajuste",""))))</f>
        <v/>
      </c>
      <c r="AD177" s="21">
        <f>IF(OR($A177="",$AG177&lt;&gt;"Pronta"),"",_xlfn.TEXTJOIN(" | ",TRUE,IF($E177&lt;$Q177,"Preço atual abaixo do piso",""),IF($E177&gt;$R177,"Preço atual acima do teto",""),IF(AND($N177&gt;0,$E177&gt;0,1-$N177/$E177&lt;$O177),"Margem estimada do preço atual abaixo do mínimo",""),IF($G177="","Preço concorrente não informado",""),IF($AB177="Piso","Recomendação travada no piso",""),IF($AB177="Teto","Recomendação travada no teto","")))</f>
        <v/>
      </c>
      <c r="AE177" s="19">
        <f>IF($AG177&lt;&gt;"Pronta","",IF($I177="Aprovar recomendação",$Z177,IF($I177="Manter preço atual",$E177,IF($I177="Definir manualmente",$J177,""))))</f>
        <v/>
      </c>
      <c r="AF177" s="21">
        <f>IF($A177="","",IF($AG177&lt;&gt;"Pronta","Aguardando correção",IF(OR($I177="",$I177="Pendente"),"Decisão pendente",IF(AND($I177="Definir manualmente",OR($J177="",$J177&lt;=0)),"Informe o preço manual",IF(OR($AE177&lt;$Q177,$AE177&gt;$R177),"Preço final fora do piso/teto","OK")))))</f>
        <v/>
      </c>
      <c r="AG177" s="26">
        <f>IF(COUNTA($A177:$K177)=0,"",IF(OR($A177="",$B177="",$C177="",$D177="",$E177="",$F177="",$H177=""),"Incompleta",IF(OR(COUNTIF($A$5:$A$204,$A177)&gt;1,NOT(ISNUMBER($B177)),COUNTIF(Produtos!$A$4:$A$103,$C177)&lt;&gt;1,IFERROR(INDEX(Produtos!$K$4:$K$103,MATCH($C177,Produtos!$A$4:$A$103,0))&lt;&gt;"Ativo",TRUE),IFERROR(INDEX(Produtos!$L$4:$L$103,MATCH($C177,Produtos!$A$4:$A$103,0))&lt;&gt;"OK",TRUE),COUNTIF(Regras!$A$4:$A$103,$D177)&lt;&gt;1,IFERROR(INDEX(Regras!$O$4:$O$103,MATCH($D177,Regras!$A$4:$A$103,0))&lt;&gt;"Sim",TRUE),IFERROR(INDEX(Regras!$P$4:$P$103,MATCH($D177,Regras!$A$4:$A$103,0))&lt;&gt;"OK",TRUE),NOT(ISNUMBER($E177)),$E177&lt;=0,NOT(ISNUMBER($F177)),$F177&lt;0,$F177&gt;5,NOT(ISNUMBER($H177)),$H177&lt;0,$H177&lt;&gt;INT($H177),AND($G177&lt;&gt;"",OR(NOT(ISNUMBER($G177)),$G177&lt;=0))),"Revisar","Pronta")))</f>
        <v/>
      </c>
    </row>
    <row r="178">
      <c r="A178" s="16" t="n"/>
      <c r="B178" s="24" t="n"/>
      <c r="C178" s="16" t="n"/>
      <c r="D178" s="16" t="n"/>
      <c r="E178" s="17" t="n"/>
      <c r="F178" s="18" t="n"/>
      <c r="G178" s="17" t="n"/>
      <c r="H178" s="20" t="n"/>
      <c r="I178" s="16" t="n"/>
      <c r="J178" s="17" t="n"/>
      <c r="K178" s="25" t="n"/>
      <c r="L178" s="26">
        <f>IF($C178="","",IFERROR(INDEX(Produtos!$B$4:$B$103,MATCH($C178,Produtos!$A$4:$A$103,0)),""))</f>
        <v/>
      </c>
      <c r="M178" s="26">
        <f>IF($C178="","",IFERROR(INDEX(Produtos!$C$4:$C$103,MATCH($C178,Produtos!$A$4:$A$103,0)),""))</f>
        <v/>
      </c>
      <c r="N178" s="19">
        <f>IF($C178="","",IFERROR(INDEX(Produtos!$D$4:$D$103,MATCH($C178,Produtos!$A$4:$A$103,0)),""))</f>
        <v/>
      </c>
      <c r="O178" s="27">
        <f>IF($C178="","",IFERROR(INDEX(Produtos!$E$4:$E$103,MATCH($C178,Produtos!$A$4:$A$103,0)),""))</f>
        <v/>
      </c>
      <c r="P178" s="19">
        <f>IF($C178="","",IFERROR(INDEX(Produtos!$G$4:$G$103,MATCH($C178,Produtos!$A$4:$A$103,0)),""))</f>
        <v/>
      </c>
      <c r="Q178" s="19">
        <f>IF($C178="","",IFERROR(INDEX(Produtos!$H$4:$H$103,MATCH($C178,Produtos!$A$4:$A$103,0)),""))</f>
        <v/>
      </c>
      <c r="R178" s="19">
        <f>IF($C178="","",IFERROR(INDEX(Produtos!$I$4:$I$103,MATCH($C178,Produtos!$A$4:$A$103,0)),""))</f>
        <v/>
      </c>
      <c r="S178" s="28">
        <f>IF($C178="","",IFERROR(INDEX(Produtos!$J$4:$J$103,MATCH($C178,Produtos!$A$4:$A$103,0)),""))</f>
        <v/>
      </c>
      <c r="T178" s="27">
        <f>IF($AG178&lt;&gt;"Pronta","",IFERROR(IF($F178&lt;=INDEX(Regras!$C$4:$C$103,MATCH($D178,Regras!$A$4:$A$103,0)),INDEX(Regras!$E$4:$E$103,MATCH($D178,Regras!$A$4:$A$103,0)),IF($F178&gt;=INDEX(Regras!$D$4:$D$103,MATCH($D178,Regras!$A$4:$A$103,0)),INDEX(Regras!$F$4:$F$103,MATCH($D178,Regras!$A$4:$A$103,0)),0)),""))</f>
        <v/>
      </c>
      <c r="U178" s="27">
        <f>IF($AG178&lt;&gt;"Pronta","",IFERROR(IF($G178="",0,IF($G178&lt;=$E178*(1-INDEX(Regras!$G$4:$G$103,MATCH($D178,Regras!$A$4:$A$103,0))),INDEX(Regras!$H$4:$H$103,MATCH($D178,Regras!$A$4:$A$103,0)),IF($G178&gt;=$E178*(1+INDEX(Regras!$G$4:$G$103,MATCH($D178,Regras!$A$4:$A$103,0))),INDEX(Regras!$I$4:$I$103,MATCH($D178,Regras!$A$4:$A$103,0)),0))),""))</f>
        <v/>
      </c>
      <c r="V178" s="27">
        <f>IF($AG178&lt;&gt;"Pronta","",IFERROR(IF($H178/$S178&lt;=INDEX(Regras!$J$4:$J$103,MATCH($D178,Regras!$A$4:$A$103,0)),INDEX(Regras!$L$4:$L$103,MATCH($D178,Regras!$A$4:$A$103,0)),IF($H178/$S178&gt;=INDEX(Regras!$K$4:$K$103,MATCH($D178,Regras!$A$4:$A$103,0)),INDEX(Regras!$M$4:$M$103,MATCH($D178,Regras!$A$4:$A$103,0)),0)),""))</f>
        <v/>
      </c>
      <c r="W178" s="27">
        <f>IF($AG178&lt;&gt;"Pronta","",SUM($T178:$V178))</f>
        <v/>
      </c>
      <c r="X178" s="27">
        <f>IF($AG178&lt;&gt;"Pronta","",IFERROR(MAX(-INDEX(Regras!$N$4:$N$103,MATCH($D178,Regras!$A$4:$A$103,0)),MIN(INDEX(Regras!$N$4:$N$103,MATCH($D178,Regras!$A$4:$A$103,0)),$W178)),""))</f>
        <v/>
      </c>
      <c r="Y178" s="19">
        <f>IF($AG178&lt;&gt;"Pronta","",IFERROR(ROUND($E178*(1+$X178),2),""))</f>
        <v/>
      </c>
      <c r="Z178" s="29">
        <f>IF(OR($AG178&lt;&gt;"Pronta",$Q178="",$R178=""),"",IFERROR(ROUND(MIN($R178,MAX($Q178,$Y178)),2),""))</f>
        <v/>
      </c>
      <c r="AA178" s="27">
        <f>IF(OR($E178="",$Z178=""),"",IFERROR($Z178/$E178-1,""))</f>
        <v/>
      </c>
      <c r="AB178" s="26">
        <f>IF($Z178="","",IF($Y178&lt;$Q178,"Piso",IF($Y178&gt;$R178,"Teto","Nenhuma")))</f>
        <v/>
      </c>
      <c r="AC178" s="21">
        <f>IF($A178="","",IF($AG178&lt;&gt;"Pronta","Aguardando dados válidos",_xlfn.TEXTJOIN(" | ",TRUE,IF($T178&gt;0,"Demanda: aumento",IF($T178&lt;0,"Demanda: redução","")),IF($U178&gt;0,"Concorrência: aumento",IF($U178&lt;0,"Concorrência: redução","")),IF($V178&gt;0,"Estoque: aumento",IF($V178&lt;0,"Estoque: redução","")),IF(ABS($W178-$X178)&gt;0.0000001,"Limite da rodada aplicado",""),IF($AB178="Piso","Piso vigente aplicado",IF($AB178="Teto","Teto aplicado","")),IF(AND($T178=0,$U178=0,$V178=0),"Sem gatilho de reajuste",""))))</f>
        <v/>
      </c>
      <c r="AD178" s="21">
        <f>IF(OR($A178="",$AG178&lt;&gt;"Pronta"),"",_xlfn.TEXTJOIN(" | ",TRUE,IF($E178&lt;$Q178,"Preço atual abaixo do piso",""),IF($E178&gt;$R178,"Preço atual acima do teto",""),IF(AND($N178&gt;0,$E178&gt;0,1-$N178/$E178&lt;$O178),"Margem estimada do preço atual abaixo do mínimo",""),IF($G178="","Preço concorrente não informado",""),IF($AB178="Piso","Recomendação travada no piso",""),IF($AB178="Teto","Recomendação travada no teto","")))</f>
        <v/>
      </c>
      <c r="AE178" s="19">
        <f>IF($AG178&lt;&gt;"Pronta","",IF($I178="Aprovar recomendação",$Z178,IF($I178="Manter preço atual",$E178,IF($I178="Definir manualmente",$J178,""))))</f>
        <v/>
      </c>
      <c r="AF178" s="21">
        <f>IF($A178="","",IF($AG178&lt;&gt;"Pronta","Aguardando correção",IF(OR($I178="",$I178="Pendente"),"Decisão pendente",IF(AND($I178="Definir manualmente",OR($J178="",$J178&lt;=0)),"Informe o preço manual",IF(OR($AE178&lt;$Q178,$AE178&gt;$R178),"Preço final fora do piso/teto","OK")))))</f>
        <v/>
      </c>
      <c r="AG178" s="26">
        <f>IF(COUNTA($A178:$K178)=0,"",IF(OR($A178="",$B178="",$C178="",$D178="",$E178="",$F178="",$H178=""),"Incompleta",IF(OR(COUNTIF($A$5:$A$204,$A178)&gt;1,NOT(ISNUMBER($B178)),COUNTIF(Produtos!$A$4:$A$103,$C178)&lt;&gt;1,IFERROR(INDEX(Produtos!$K$4:$K$103,MATCH($C178,Produtos!$A$4:$A$103,0))&lt;&gt;"Ativo",TRUE),IFERROR(INDEX(Produtos!$L$4:$L$103,MATCH($C178,Produtos!$A$4:$A$103,0))&lt;&gt;"OK",TRUE),COUNTIF(Regras!$A$4:$A$103,$D178)&lt;&gt;1,IFERROR(INDEX(Regras!$O$4:$O$103,MATCH($D178,Regras!$A$4:$A$103,0))&lt;&gt;"Sim",TRUE),IFERROR(INDEX(Regras!$P$4:$P$103,MATCH($D178,Regras!$A$4:$A$103,0))&lt;&gt;"OK",TRUE),NOT(ISNUMBER($E178)),$E178&lt;=0,NOT(ISNUMBER($F178)),$F178&lt;0,$F178&gt;5,NOT(ISNUMBER($H178)),$H178&lt;0,$H178&lt;&gt;INT($H178),AND($G178&lt;&gt;"",OR(NOT(ISNUMBER($G178)),$G178&lt;=0))),"Revisar","Pronta")))</f>
        <v/>
      </c>
    </row>
    <row r="179">
      <c r="A179" s="16" t="n"/>
      <c r="B179" s="24" t="n"/>
      <c r="C179" s="16" t="n"/>
      <c r="D179" s="16" t="n"/>
      <c r="E179" s="17" t="n"/>
      <c r="F179" s="18" t="n"/>
      <c r="G179" s="17" t="n"/>
      <c r="H179" s="20" t="n"/>
      <c r="I179" s="16" t="n"/>
      <c r="J179" s="17" t="n"/>
      <c r="K179" s="25" t="n"/>
      <c r="L179" s="26">
        <f>IF($C179="","",IFERROR(INDEX(Produtos!$B$4:$B$103,MATCH($C179,Produtos!$A$4:$A$103,0)),""))</f>
        <v/>
      </c>
      <c r="M179" s="26">
        <f>IF($C179="","",IFERROR(INDEX(Produtos!$C$4:$C$103,MATCH($C179,Produtos!$A$4:$A$103,0)),""))</f>
        <v/>
      </c>
      <c r="N179" s="19">
        <f>IF($C179="","",IFERROR(INDEX(Produtos!$D$4:$D$103,MATCH($C179,Produtos!$A$4:$A$103,0)),""))</f>
        <v/>
      </c>
      <c r="O179" s="27">
        <f>IF($C179="","",IFERROR(INDEX(Produtos!$E$4:$E$103,MATCH($C179,Produtos!$A$4:$A$103,0)),""))</f>
        <v/>
      </c>
      <c r="P179" s="19">
        <f>IF($C179="","",IFERROR(INDEX(Produtos!$G$4:$G$103,MATCH($C179,Produtos!$A$4:$A$103,0)),""))</f>
        <v/>
      </c>
      <c r="Q179" s="19">
        <f>IF($C179="","",IFERROR(INDEX(Produtos!$H$4:$H$103,MATCH($C179,Produtos!$A$4:$A$103,0)),""))</f>
        <v/>
      </c>
      <c r="R179" s="19">
        <f>IF($C179="","",IFERROR(INDEX(Produtos!$I$4:$I$103,MATCH($C179,Produtos!$A$4:$A$103,0)),""))</f>
        <v/>
      </c>
      <c r="S179" s="28">
        <f>IF($C179="","",IFERROR(INDEX(Produtos!$J$4:$J$103,MATCH($C179,Produtos!$A$4:$A$103,0)),""))</f>
        <v/>
      </c>
      <c r="T179" s="27">
        <f>IF($AG179&lt;&gt;"Pronta","",IFERROR(IF($F179&lt;=INDEX(Regras!$C$4:$C$103,MATCH($D179,Regras!$A$4:$A$103,0)),INDEX(Regras!$E$4:$E$103,MATCH($D179,Regras!$A$4:$A$103,0)),IF($F179&gt;=INDEX(Regras!$D$4:$D$103,MATCH($D179,Regras!$A$4:$A$103,0)),INDEX(Regras!$F$4:$F$103,MATCH($D179,Regras!$A$4:$A$103,0)),0)),""))</f>
        <v/>
      </c>
      <c r="U179" s="27">
        <f>IF($AG179&lt;&gt;"Pronta","",IFERROR(IF($G179="",0,IF($G179&lt;=$E179*(1-INDEX(Regras!$G$4:$G$103,MATCH($D179,Regras!$A$4:$A$103,0))),INDEX(Regras!$H$4:$H$103,MATCH($D179,Regras!$A$4:$A$103,0)),IF($G179&gt;=$E179*(1+INDEX(Regras!$G$4:$G$103,MATCH($D179,Regras!$A$4:$A$103,0))),INDEX(Regras!$I$4:$I$103,MATCH($D179,Regras!$A$4:$A$103,0)),0))),""))</f>
        <v/>
      </c>
      <c r="V179" s="27">
        <f>IF($AG179&lt;&gt;"Pronta","",IFERROR(IF($H179/$S179&lt;=INDEX(Regras!$J$4:$J$103,MATCH($D179,Regras!$A$4:$A$103,0)),INDEX(Regras!$L$4:$L$103,MATCH($D179,Regras!$A$4:$A$103,0)),IF($H179/$S179&gt;=INDEX(Regras!$K$4:$K$103,MATCH($D179,Regras!$A$4:$A$103,0)),INDEX(Regras!$M$4:$M$103,MATCH($D179,Regras!$A$4:$A$103,0)),0)),""))</f>
        <v/>
      </c>
      <c r="W179" s="27">
        <f>IF($AG179&lt;&gt;"Pronta","",SUM($T179:$V179))</f>
        <v/>
      </c>
      <c r="X179" s="27">
        <f>IF($AG179&lt;&gt;"Pronta","",IFERROR(MAX(-INDEX(Regras!$N$4:$N$103,MATCH($D179,Regras!$A$4:$A$103,0)),MIN(INDEX(Regras!$N$4:$N$103,MATCH($D179,Regras!$A$4:$A$103,0)),$W179)),""))</f>
        <v/>
      </c>
      <c r="Y179" s="19">
        <f>IF($AG179&lt;&gt;"Pronta","",IFERROR(ROUND($E179*(1+$X179),2),""))</f>
        <v/>
      </c>
      <c r="Z179" s="29">
        <f>IF(OR($AG179&lt;&gt;"Pronta",$Q179="",$R179=""),"",IFERROR(ROUND(MIN($R179,MAX($Q179,$Y179)),2),""))</f>
        <v/>
      </c>
      <c r="AA179" s="27">
        <f>IF(OR($E179="",$Z179=""),"",IFERROR($Z179/$E179-1,""))</f>
        <v/>
      </c>
      <c r="AB179" s="26">
        <f>IF($Z179="","",IF($Y179&lt;$Q179,"Piso",IF($Y179&gt;$R179,"Teto","Nenhuma")))</f>
        <v/>
      </c>
      <c r="AC179" s="21">
        <f>IF($A179="","",IF($AG179&lt;&gt;"Pronta","Aguardando dados válidos",_xlfn.TEXTJOIN(" | ",TRUE,IF($T179&gt;0,"Demanda: aumento",IF($T179&lt;0,"Demanda: redução","")),IF($U179&gt;0,"Concorrência: aumento",IF($U179&lt;0,"Concorrência: redução","")),IF($V179&gt;0,"Estoque: aumento",IF($V179&lt;0,"Estoque: redução","")),IF(ABS($W179-$X179)&gt;0.0000001,"Limite da rodada aplicado",""),IF($AB179="Piso","Piso vigente aplicado",IF($AB179="Teto","Teto aplicado","")),IF(AND($T179=0,$U179=0,$V179=0),"Sem gatilho de reajuste",""))))</f>
        <v/>
      </c>
      <c r="AD179" s="21">
        <f>IF(OR($A179="",$AG179&lt;&gt;"Pronta"),"",_xlfn.TEXTJOIN(" | ",TRUE,IF($E179&lt;$Q179,"Preço atual abaixo do piso",""),IF($E179&gt;$R179,"Preço atual acima do teto",""),IF(AND($N179&gt;0,$E179&gt;0,1-$N179/$E179&lt;$O179),"Margem estimada do preço atual abaixo do mínimo",""),IF($G179="","Preço concorrente não informado",""),IF($AB179="Piso","Recomendação travada no piso",""),IF($AB179="Teto","Recomendação travada no teto","")))</f>
        <v/>
      </c>
      <c r="AE179" s="19">
        <f>IF($AG179&lt;&gt;"Pronta","",IF($I179="Aprovar recomendação",$Z179,IF($I179="Manter preço atual",$E179,IF($I179="Definir manualmente",$J179,""))))</f>
        <v/>
      </c>
      <c r="AF179" s="21">
        <f>IF($A179="","",IF($AG179&lt;&gt;"Pronta","Aguardando correção",IF(OR($I179="",$I179="Pendente"),"Decisão pendente",IF(AND($I179="Definir manualmente",OR($J179="",$J179&lt;=0)),"Informe o preço manual",IF(OR($AE179&lt;$Q179,$AE179&gt;$R179),"Preço final fora do piso/teto","OK")))))</f>
        <v/>
      </c>
      <c r="AG179" s="26">
        <f>IF(COUNTA($A179:$K179)=0,"",IF(OR($A179="",$B179="",$C179="",$D179="",$E179="",$F179="",$H179=""),"Incompleta",IF(OR(COUNTIF($A$5:$A$204,$A179)&gt;1,NOT(ISNUMBER($B179)),COUNTIF(Produtos!$A$4:$A$103,$C179)&lt;&gt;1,IFERROR(INDEX(Produtos!$K$4:$K$103,MATCH($C179,Produtos!$A$4:$A$103,0))&lt;&gt;"Ativo",TRUE),IFERROR(INDEX(Produtos!$L$4:$L$103,MATCH($C179,Produtos!$A$4:$A$103,0))&lt;&gt;"OK",TRUE),COUNTIF(Regras!$A$4:$A$103,$D179)&lt;&gt;1,IFERROR(INDEX(Regras!$O$4:$O$103,MATCH($D179,Regras!$A$4:$A$103,0))&lt;&gt;"Sim",TRUE),IFERROR(INDEX(Regras!$P$4:$P$103,MATCH($D179,Regras!$A$4:$A$103,0))&lt;&gt;"OK",TRUE),NOT(ISNUMBER($E179)),$E179&lt;=0,NOT(ISNUMBER($F179)),$F179&lt;0,$F179&gt;5,NOT(ISNUMBER($H179)),$H179&lt;0,$H179&lt;&gt;INT($H179),AND($G179&lt;&gt;"",OR(NOT(ISNUMBER($G179)),$G179&lt;=0))),"Revisar","Pronta")))</f>
        <v/>
      </c>
    </row>
    <row r="180">
      <c r="A180" s="16" t="n"/>
      <c r="B180" s="24" t="n"/>
      <c r="C180" s="16" t="n"/>
      <c r="D180" s="16" t="n"/>
      <c r="E180" s="17" t="n"/>
      <c r="F180" s="18" t="n"/>
      <c r="G180" s="17" t="n"/>
      <c r="H180" s="20" t="n"/>
      <c r="I180" s="16" t="n"/>
      <c r="J180" s="17" t="n"/>
      <c r="K180" s="25" t="n"/>
      <c r="L180" s="26">
        <f>IF($C180="","",IFERROR(INDEX(Produtos!$B$4:$B$103,MATCH($C180,Produtos!$A$4:$A$103,0)),""))</f>
        <v/>
      </c>
      <c r="M180" s="26">
        <f>IF($C180="","",IFERROR(INDEX(Produtos!$C$4:$C$103,MATCH($C180,Produtos!$A$4:$A$103,0)),""))</f>
        <v/>
      </c>
      <c r="N180" s="19">
        <f>IF($C180="","",IFERROR(INDEX(Produtos!$D$4:$D$103,MATCH($C180,Produtos!$A$4:$A$103,0)),""))</f>
        <v/>
      </c>
      <c r="O180" s="27">
        <f>IF($C180="","",IFERROR(INDEX(Produtos!$E$4:$E$103,MATCH($C180,Produtos!$A$4:$A$103,0)),""))</f>
        <v/>
      </c>
      <c r="P180" s="19">
        <f>IF($C180="","",IFERROR(INDEX(Produtos!$G$4:$G$103,MATCH($C180,Produtos!$A$4:$A$103,0)),""))</f>
        <v/>
      </c>
      <c r="Q180" s="19">
        <f>IF($C180="","",IFERROR(INDEX(Produtos!$H$4:$H$103,MATCH($C180,Produtos!$A$4:$A$103,0)),""))</f>
        <v/>
      </c>
      <c r="R180" s="19">
        <f>IF($C180="","",IFERROR(INDEX(Produtos!$I$4:$I$103,MATCH($C180,Produtos!$A$4:$A$103,0)),""))</f>
        <v/>
      </c>
      <c r="S180" s="28">
        <f>IF($C180="","",IFERROR(INDEX(Produtos!$J$4:$J$103,MATCH($C180,Produtos!$A$4:$A$103,0)),""))</f>
        <v/>
      </c>
      <c r="T180" s="27">
        <f>IF($AG180&lt;&gt;"Pronta","",IFERROR(IF($F180&lt;=INDEX(Regras!$C$4:$C$103,MATCH($D180,Regras!$A$4:$A$103,0)),INDEX(Regras!$E$4:$E$103,MATCH($D180,Regras!$A$4:$A$103,0)),IF($F180&gt;=INDEX(Regras!$D$4:$D$103,MATCH($D180,Regras!$A$4:$A$103,0)),INDEX(Regras!$F$4:$F$103,MATCH($D180,Regras!$A$4:$A$103,0)),0)),""))</f>
        <v/>
      </c>
      <c r="U180" s="27">
        <f>IF($AG180&lt;&gt;"Pronta","",IFERROR(IF($G180="",0,IF($G180&lt;=$E180*(1-INDEX(Regras!$G$4:$G$103,MATCH($D180,Regras!$A$4:$A$103,0))),INDEX(Regras!$H$4:$H$103,MATCH($D180,Regras!$A$4:$A$103,0)),IF($G180&gt;=$E180*(1+INDEX(Regras!$G$4:$G$103,MATCH($D180,Regras!$A$4:$A$103,0))),INDEX(Regras!$I$4:$I$103,MATCH($D180,Regras!$A$4:$A$103,0)),0))),""))</f>
        <v/>
      </c>
      <c r="V180" s="27">
        <f>IF($AG180&lt;&gt;"Pronta","",IFERROR(IF($H180/$S180&lt;=INDEX(Regras!$J$4:$J$103,MATCH($D180,Regras!$A$4:$A$103,0)),INDEX(Regras!$L$4:$L$103,MATCH($D180,Regras!$A$4:$A$103,0)),IF($H180/$S180&gt;=INDEX(Regras!$K$4:$K$103,MATCH($D180,Regras!$A$4:$A$103,0)),INDEX(Regras!$M$4:$M$103,MATCH($D180,Regras!$A$4:$A$103,0)),0)),""))</f>
        <v/>
      </c>
      <c r="W180" s="27">
        <f>IF($AG180&lt;&gt;"Pronta","",SUM($T180:$V180))</f>
        <v/>
      </c>
      <c r="X180" s="27">
        <f>IF($AG180&lt;&gt;"Pronta","",IFERROR(MAX(-INDEX(Regras!$N$4:$N$103,MATCH($D180,Regras!$A$4:$A$103,0)),MIN(INDEX(Regras!$N$4:$N$103,MATCH($D180,Regras!$A$4:$A$103,0)),$W180)),""))</f>
        <v/>
      </c>
      <c r="Y180" s="19">
        <f>IF($AG180&lt;&gt;"Pronta","",IFERROR(ROUND($E180*(1+$X180),2),""))</f>
        <v/>
      </c>
      <c r="Z180" s="29">
        <f>IF(OR($AG180&lt;&gt;"Pronta",$Q180="",$R180=""),"",IFERROR(ROUND(MIN($R180,MAX($Q180,$Y180)),2),""))</f>
        <v/>
      </c>
      <c r="AA180" s="27">
        <f>IF(OR($E180="",$Z180=""),"",IFERROR($Z180/$E180-1,""))</f>
        <v/>
      </c>
      <c r="AB180" s="26">
        <f>IF($Z180="","",IF($Y180&lt;$Q180,"Piso",IF($Y180&gt;$R180,"Teto","Nenhuma")))</f>
        <v/>
      </c>
      <c r="AC180" s="21">
        <f>IF($A180="","",IF($AG180&lt;&gt;"Pronta","Aguardando dados válidos",_xlfn.TEXTJOIN(" | ",TRUE,IF($T180&gt;0,"Demanda: aumento",IF($T180&lt;0,"Demanda: redução","")),IF($U180&gt;0,"Concorrência: aumento",IF($U180&lt;0,"Concorrência: redução","")),IF($V180&gt;0,"Estoque: aumento",IF($V180&lt;0,"Estoque: redução","")),IF(ABS($W180-$X180)&gt;0.0000001,"Limite da rodada aplicado",""),IF($AB180="Piso","Piso vigente aplicado",IF($AB180="Teto","Teto aplicado","")),IF(AND($T180=0,$U180=0,$V180=0),"Sem gatilho de reajuste",""))))</f>
        <v/>
      </c>
      <c r="AD180" s="21">
        <f>IF(OR($A180="",$AG180&lt;&gt;"Pronta"),"",_xlfn.TEXTJOIN(" | ",TRUE,IF($E180&lt;$Q180,"Preço atual abaixo do piso",""),IF($E180&gt;$R180,"Preço atual acima do teto",""),IF(AND($N180&gt;0,$E180&gt;0,1-$N180/$E180&lt;$O180),"Margem estimada do preço atual abaixo do mínimo",""),IF($G180="","Preço concorrente não informado",""),IF($AB180="Piso","Recomendação travada no piso",""),IF($AB180="Teto","Recomendação travada no teto","")))</f>
        <v/>
      </c>
      <c r="AE180" s="19">
        <f>IF($AG180&lt;&gt;"Pronta","",IF($I180="Aprovar recomendação",$Z180,IF($I180="Manter preço atual",$E180,IF($I180="Definir manualmente",$J180,""))))</f>
        <v/>
      </c>
      <c r="AF180" s="21">
        <f>IF($A180="","",IF($AG180&lt;&gt;"Pronta","Aguardando correção",IF(OR($I180="",$I180="Pendente"),"Decisão pendente",IF(AND($I180="Definir manualmente",OR($J180="",$J180&lt;=0)),"Informe o preço manual",IF(OR($AE180&lt;$Q180,$AE180&gt;$R180),"Preço final fora do piso/teto","OK")))))</f>
        <v/>
      </c>
      <c r="AG180" s="26">
        <f>IF(COUNTA($A180:$K180)=0,"",IF(OR($A180="",$B180="",$C180="",$D180="",$E180="",$F180="",$H180=""),"Incompleta",IF(OR(COUNTIF($A$5:$A$204,$A180)&gt;1,NOT(ISNUMBER($B180)),COUNTIF(Produtos!$A$4:$A$103,$C180)&lt;&gt;1,IFERROR(INDEX(Produtos!$K$4:$K$103,MATCH($C180,Produtos!$A$4:$A$103,0))&lt;&gt;"Ativo",TRUE),IFERROR(INDEX(Produtos!$L$4:$L$103,MATCH($C180,Produtos!$A$4:$A$103,0))&lt;&gt;"OK",TRUE),COUNTIF(Regras!$A$4:$A$103,$D180)&lt;&gt;1,IFERROR(INDEX(Regras!$O$4:$O$103,MATCH($D180,Regras!$A$4:$A$103,0))&lt;&gt;"Sim",TRUE),IFERROR(INDEX(Regras!$P$4:$P$103,MATCH($D180,Regras!$A$4:$A$103,0))&lt;&gt;"OK",TRUE),NOT(ISNUMBER($E180)),$E180&lt;=0,NOT(ISNUMBER($F180)),$F180&lt;0,$F180&gt;5,NOT(ISNUMBER($H180)),$H180&lt;0,$H180&lt;&gt;INT($H180),AND($G180&lt;&gt;"",OR(NOT(ISNUMBER($G180)),$G180&lt;=0))),"Revisar","Pronta")))</f>
        <v/>
      </c>
    </row>
    <row r="181">
      <c r="A181" s="16" t="n"/>
      <c r="B181" s="24" t="n"/>
      <c r="C181" s="16" t="n"/>
      <c r="D181" s="16" t="n"/>
      <c r="E181" s="17" t="n"/>
      <c r="F181" s="18" t="n"/>
      <c r="G181" s="17" t="n"/>
      <c r="H181" s="20" t="n"/>
      <c r="I181" s="16" t="n"/>
      <c r="J181" s="17" t="n"/>
      <c r="K181" s="25" t="n"/>
      <c r="L181" s="26">
        <f>IF($C181="","",IFERROR(INDEX(Produtos!$B$4:$B$103,MATCH($C181,Produtos!$A$4:$A$103,0)),""))</f>
        <v/>
      </c>
      <c r="M181" s="26">
        <f>IF($C181="","",IFERROR(INDEX(Produtos!$C$4:$C$103,MATCH($C181,Produtos!$A$4:$A$103,0)),""))</f>
        <v/>
      </c>
      <c r="N181" s="19">
        <f>IF($C181="","",IFERROR(INDEX(Produtos!$D$4:$D$103,MATCH($C181,Produtos!$A$4:$A$103,0)),""))</f>
        <v/>
      </c>
      <c r="O181" s="27">
        <f>IF($C181="","",IFERROR(INDEX(Produtos!$E$4:$E$103,MATCH($C181,Produtos!$A$4:$A$103,0)),""))</f>
        <v/>
      </c>
      <c r="P181" s="19">
        <f>IF($C181="","",IFERROR(INDEX(Produtos!$G$4:$G$103,MATCH($C181,Produtos!$A$4:$A$103,0)),""))</f>
        <v/>
      </c>
      <c r="Q181" s="19">
        <f>IF($C181="","",IFERROR(INDEX(Produtos!$H$4:$H$103,MATCH($C181,Produtos!$A$4:$A$103,0)),""))</f>
        <v/>
      </c>
      <c r="R181" s="19">
        <f>IF($C181="","",IFERROR(INDEX(Produtos!$I$4:$I$103,MATCH($C181,Produtos!$A$4:$A$103,0)),""))</f>
        <v/>
      </c>
      <c r="S181" s="28">
        <f>IF($C181="","",IFERROR(INDEX(Produtos!$J$4:$J$103,MATCH($C181,Produtos!$A$4:$A$103,0)),""))</f>
        <v/>
      </c>
      <c r="T181" s="27">
        <f>IF($AG181&lt;&gt;"Pronta","",IFERROR(IF($F181&lt;=INDEX(Regras!$C$4:$C$103,MATCH($D181,Regras!$A$4:$A$103,0)),INDEX(Regras!$E$4:$E$103,MATCH($D181,Regras!$A$4:$A$103,0)),IF($F181&gt;=INDEX(Regras!$D$4:$D$103,MATCH($D181,Regras!$A$4:$A$103,0)),INDEX(Regras!$F$4:$F$103,MATCH($D181,Regras!$A$4:$A$103,0)),0)),""))</f>
        <v/>
      </c>
      <c r="U181" s="27">
        <f>IF($AG181&lt;&gt;"Pronta","",IFERROR(IF($G181="",0,IF($G181&lt;=$E181*(1-INDEX(Regras!$G$4:$G$103,MATCH($D181,Regras!$A$4:$A$103,0))),INDEX(Regras!$H$4:$H$103,MATCH($D181,Regras!$A$4:$A$103,0)),IF($G181&gt;=$E181*(1+INDEX(Regras!$G$4:$G$103,MATCH($D181,Regras!$A$4:$A$103,0))),INDEX(Regras!$I$4:$I$103,MATCH($D181,Regras!$A$4:$A$103,0)),0))),""))</f>
        <v/>
      </c>
      <c r="V181" s="27">
        <f>IF($AG181&lt;&gt;"Pronta","",IFERROR(IF($H181/$S181&lt;=INDEX(Regras!$J$4:$J$103,MATCH($D181,Regras!$A$4:$A$103,0)),INDEX(Regras!$L$4:$L$103,MATCH($D181,Regras!$A$4:$A$103,0)),IF($H181/$S181&gt;=INDEX(Regras!$K$4:$K$103,MATCH($D181,Regras!$A$4:$A$103,0)),INDEX(Regras!$M$4:$M$103,MATCH($D181,Regras!$A$4:$A$103,0)),0)),""))</f>
        <v/>
      </c>
      <c r="W181" s="27">
        <f>IF($AG181&lt;&gt;"Pronta","",SUM($T181:$V181))</f>
        <v/>
      </c>
      <c r="X181" s="27">
        <f>IF($AG181&lt;&gt;"Pronta","",IFERROR(MAX(-INDEX(Regras!$N$4:$N$103,MATCH($D181,Regras!$A$4:$A$103,0)),MIN(INDEX(Regras!$N$4:$N$103,MATCH($D181,Regras!$A$4:$A$103,0)),$W181)),""))</f>
        <v/>
      </c>
      <c r="Y181" s="19">
        <f>IF($AG181&lt;&gt;"Pronta","",IFERROR(ROUND($E181*(1+$X181),2),""))</f>
        <v/>
      </c>
      <c r="Z181" s="29">
        <f>IF(OR($AG181&lt;&gt;"Pronta",$Q181="",$R181=""),"",IFERROR(ROUND(MIN($R181,MAX($Q181,$Y181)),2),""))</f>
        <v/>
      </c>
      <c r="AA181" s="27">
        <f>IF(OR($E181="",$Z181=""),"",IFERROR($Z181/$E181-1,""))</f>
        <v/>
      </c>
      <c r="AB181" s="26">
        <f>IF($Z181="","",IF($Y181&lt;$Q181,"Piso",IF($Y181&gt;$R181,"Teto","Nenhuma")))</f>
        <v/>
      </c>
      <c r="AC181" s="21">
        <f>IF($A181="","",IF($AG181&lt;&gt;"Pronta","Aguardando dados válidos",_xlfn.TEXTJOIN(" | ",TRUE,IF($T181&gt;0,"Demanda: aumento",IF($T181&lt;0,"Demanda: redução","")),IF($U181&gt;0,"Concorrência: aumento",IF($U181&lt;0,"Concorrência: redução","")),IF($V181&gt;0,"Estoque: aumento",IF($V181&lt;0,"Estoque: redução","")),IF(ABS($W181-$X181)&gt;0.0000001,"Limite da rodada aplicado",""),IF($AB181="Piso","Piso vigente aplicado",IF($AB181="Teto","Teto aplicado","")),IF(AND($T181=0,$U181=0,$V181=0),"Sem gatilho de reajuste",""))))</f>
        <v/>
      </c>
      <c r="AD181" s="21">
        <f>IF(OR($A181="",$AG181&lt;&gt;"Pronta"),"",_xlfn.TEXTJOIN(" | ",TRUE,IF($E181&lt;$Q181,"Preço atual abaixo do piso",""),IF($E181&gt;$R181,"Preço atual acima do teto",""),IF(AND($N181&gt;0,$E181&gt;0,1-$N181/$E181&lt;$O181),"Margem estimada do preço atual abaixo do mínimo",""),IF($G181="","Preço concorrente não informado",""),IF($AB181="Piso","Recomendação travada no piso",""),IF($AB181="Teto","Recomendação travada no teto","")))</f>
        <v/>
      </c>
      <c r="AE181" s="19">
        <f>IF($AG181&lt;&gt;"Pronta","",IF($I181="Aprovar recomendação",$Z181,IF($I181="Manter preço atual",$E181,IF($I181="Definir manualmente",$J181,""))))</f>
        <v/>
      </c>
      <c r="AF181" s="21">
        <f>IF($A181="","",IF($AG181&lt;&gt;"Pronta","Aguardando correção",IF(OR($I181="",$I181="Pendente"),"Decisão pendente",IF(AND($I181="Definir manualmente",OR($J181="",$J181&lt;=0)),"Informe o preço manual",IF(OR($AE181&lt;$Q181,$AE181&gt;$R181),"Preço final fora do piso/teto","OK")))))</f>
        <v/>
      </c>
      <c r="AG181" s="26">
        <f>IF(COUNTA($A181:$K181)=0,"",IF(OR($A181="",$B181="",$C181="",$D181="",$E181="",$F181="",$H181=""),"Incompleta",IF(OR(COUNTIF($A$5:$A$204,$A181)&gt;1,NOT(ISNUMBER($B181)),COUNTIF(Produtos!$A$4:$A$103,$C181)&lt;&gt;1,IFERROR(INDEX(Produtos!$K$4:$K$103,MATCH($C181,Produtos!$A$4:$A$103,0))&lt;&gt;"Ativo",TRUE),IFERROR(INDEX(Produtos!$L$4:$L$103,MATCH($C181,Produtos!$A$4:$A$103,0))&lt;&gt;"OK",TRUE),COUNTIF(Regras!$A$4:$A$103,$D181)&lt;&gt;1,IFERROR(INDEX(Regras!$O$4:$O$103,MATCH($D181,Regras!$A$4:$A$103,0))&lt;&gt;"Sim",TRUE),IFERROR(INDEX(Regras!$P$4:$P$103,MATCH($D181,Regras!$A$4:$A$103,0))&lt;&gt;"OK",TRUE),NOT(ISNUMBER($E181)),$E181&lt;=0,NOT(ISNUMBER($F181)),$F181&lt;0,$F181&gt;5,NOT(ISNUMBER($H181)),$H181&lt;0,$H181&lt;&gt;INT($H181),AND($G181&lt;&gt;"",OR(NOT(ISNUMBER($G181)),$G181&lt;=0))),"Revisar","Pronta")))</f>
        <v/>
      </c>
    </row>
    <row r="182">
      <c r="A182" s="16" t="n"/>
      <c r="B182" s="24" t="n"/>
      <c r="C182" s="16" t="n"/>
      <c r="D182" s="16" t="n"/>
      <c r="E182" s="17" t="n"/>
      <c r="F182" s="18" t="n"/>
      <c r="G182" s="17" t="n"/>
      <c r="H182" s="20" t="n"/>
      <c r="I182" s="16" t="n"/>
      <c r="J182" s="17" t="n"/>
      <c r="K182" s="25" t="n"/>
      <c r="L182" s="26">
        <f>IF($C182="","",IFERROR(INDEX(Produtos!$B$4:$B$103,MATCH($C182,Produtos!$A$4:$A$103,0)),""))</f>
        <v/>
      </c>
      <c r="M182" s="26">
        <f>IF($C182="","",IFERROR(INDEX(Produtos!$C$4:$C$103,MATCH($C182,Produtos!$A$4:$A$103,0)),""))</f>
        <v/>
      </c>
      <c r="N182" s="19">
        <f>IF($C182="","",IFERROR(INDEX(Produtos!$D$4:$D$103,MATCH($C182,Produtos!$A$4:$A$103,0)),""))</f>
        <v/>
      </c>
      <c r="O182" s="27">
        <f>IF($C182="","",IFERROR(INDEX(Produtos!$E$4:$E$103,MATCH($C182,Produtos!$A$4:$A$103,0)),""))</f>
        <v/>
      </c>
      <c r="P182" s="19">
        <f>IF($C182="","",IFERROR(INDEX(Produtos!$G$4:$G$103,MATCH($C182,Produtos!$A$4:$A$103,0)),""))</f>
        <v/>
      </c>
      <c r="Q182" s="19">
        <f>IF($C182="","",IFERROR(INDEX(Produtos!$H$4:$H$103,MATCH($C182,Produtos!$A$4:$A$103,0)),""))</f>
        <v/>
      </c>
      <c r="R182" s="19">
        <f>IF($C182="","",IFERROR(INDEX(Produtos!$I$4:$I$103,MATCH($C182,Produtos!$A$4:$A$103,0)),""))</f>
        <v/>
      </c>
      <c r="S182" s="28">
        <f>IF($C182="","",IFERROR(INDEX(Produtos!$J$4:$J$103,MATCH($C182,Produtos!$A$4:$A$103,0)),""))</f>
        <v/>
      </c>
      <c r="T182" s="27">
        <f>IF($AG182&lt;&gt;"Pronta","",IFERROR(IF($F182&lt;=INDEX(Regras!$C$4:$C$103,MATCH($D182,Regras!$A$4:$A$103,0)),INDEX(Regras!$E$4:$E$103,MATCH($D182,Regras!$A$4:$A$103,0)),IF($F182&gt;=INDEX(Regras!$D$4:$D$103,MATCH($D182,Regras!$A$4:$A$103,0)),INDEX(Regras!$F$4:$F$103,MATCH($D182,Regras!$A$4:$A$103,0)),0)),""))</f>
        <v/>
      </c>
      <c r="U182" s="27">
        <f>IF($AG182&lt;&gt;"Pronta","",IFERROR(IF($G182="",0,IF($G182&lt;=$E182*(1-INDEX(Regras!$G$4:$G$103,MATCH($D182,Regras!$A$4:$A$103,0))),INDEX(Regras!$H$4:$H$103,MATCH($D182,Regras!$A$4:$A$103,0)),IF($G182&gt;=$E182*(1+INDEX(Regras!$G$4:$G$103,MATCH($D182,Regras!$A$4:$A$103,0))),INDEX(Regras!$I$4:$I$103,MATCH($D182,Regras!$A$4:$A$103,0)),0))),""))</f>
        <v/>
      </c>
      <c r="V182" s="27">
        <f>IF($AG182&lt;&gt;"Pronta","",IFERROR(IF($H182/$S182&lt;=INDEX(Regras!$J$4:$J$103,MATCH($D182,Regras!$A$4:$A$103,0)),INDEX(Regras!$L$4:$L$103,MATCH($D182,Regras!$A$4:$A$103,0)),IF($H182/$S182&gt;=INDEX(Regras!$K$4:$K$103,MATCH($D182,Regras!$A$4:$A$103,0)),INDEX(Regras!$M$4:$M$103,MATCH($D182,Regras!$A$4:$A$103,0)),0)),""))</f>
        <v/>
      </c>
      <c r="W182" s="27">
        <f>IF($AG182&lt;&gt;"Pronta","",SUM($T182:$V182))</f>
        <v/>
      </c>
      <c r="X182" s="27">
        <f>IF($AG182&lt;&gt;"Pronta","",IFERROR(MAX(-INDEX(Regras!$N$4:$N$103,MATCH($D182,Regras!$A$4:$A$103,0)),MIN(INDEX(Regras!$N$4:$N$103,MATCH($D182,Regras!$A$4:$A$103,0)),$W182)),""))</f>
        <v/>
      </c>
      <c r="Y182" s="19">
        <f>IF($AG182&lt;&gt;"Pronta","",IFERROR(ROUND($E182*(1+$X182),2),""))</f>
        <v/>
      </c>
      <c r="Z182" s="29">
        <f>IF(OR($AG182&lt;&gt;"Pronta",$Q182="",$R182=""),"",IFERROR(ROUND(MIN($R182,MAX($Q182,$Y182)),2),""))</f>
        <v/>
      </c>
      <c r="AA182" s="27">
        <f>IF(OR($E182="",$Z182=""),"",IFERROR($Z182/$E182-1,""))</f>
        <v/>
      </c>
      <c r="AB182" s="26">
        <f>IF($Z182="","",IF($Y182&lt;$Q182,"Piso",IF($Y182&gt;$R182,"Teto","Nenhuma")))</f>
        <v/>
      </c>
      <c r="AC182" s="21">
        <f>IF($A182="","",IF($AG182&lt;&gt;"Pronta","Aguardando dados válidos",_xlfn.TEXTJOIN(" | ",TRUE,IF($T182&gt;0,"Demanda: aumento",IF($T182&lt;0,"Demanda: redução","")),IF($U182&gt;0,"Concorrência: aumento",IF($U182&lt;0,"Concorrência: redução","")),IF($V182&gt;0,"Estoque: aumento",IF($V182&lt;0,"Estoque: redução","")),IF(ABS($W182-$X182)&gt;0.0000001,"Limite da rodada aplicado",""),IF($AB182="Piso","Piso vigente aplicado",IF($AB182="Teto","Teto aplicado","")),IF(AND($T182=0,$U182=0,$V182=0),"Sem gatilho de reajuste",""))))</f>
        <v/>
      </c>
      <c r="AD182" s="21">
        <f>IF(OR($A182="",$AG182&lt;&gt;"Pronta"),"",_xlfn.TEXTJOIN(" | ",TRUE,IF($E182&lt;$Q182,"Preço atual abaixo do piso",""),IF($E182&gt;$R182,"Preço atual acima do teto",""),IF(AND($N182&gt;0,$E182&gt;0,1-$N182/$E182&lt;$O182),"Margem estimada do preço atual abaixo do mínimo",""),IF($G182="","Preço concorrente não informado",""),IF($AB182="Piso","Recomendação travada no piso",""),IF($AB182="Teto","Recomendação travada no teto","")))</f>
        <v/>
      </c>
      <c r="AE182" s="19">
        <f>IF($AG182&lt;&gt;"Pronta","",IF($I182="Aprovar recomendação",$Z182,IF($I182="Manter preço atual",$E182,IF($I182="Definir manualmente",$J182,""))))</f>
        <v/>
      </c>
      <c r="AF182" s="21">
        <f>IF($A182="","",IF($AG182&lt;&gt;"Pronta","Aguardando correção",IF(OR($I182="",$I182="Pendente"),"Decisão pendente",IF(AND($I182="Definir manualmente",OR($J182="",$J182&lt;=0)),"Informe o preço manual",IF(OR($AE182&lt;$Q182,$AE182&gt;$R182),"Preço final fora do piso/teto","OK")))))</f>
        <v/>
      </c>
      <c r="AG182" s="26">
        <f>IF(COUNTA($A182:$K182)=0,"",IF(OR($A182="",$B182="",$C182="",$D182="",$E182="",$F182="",$H182=""),"Incompleta",IF(OR(COUNTIF($A$5:$A$204,$A182)&gt;1,NOT(ISNUMBER($B182)),COUNTIF(Produtos!$A$4:$A$103,$C182)&lt;&gt;1,IFERROR(INDEX(Produtos!$K$4:$K$103,MATCH($C182,Produtos!$A$4:$A$103,0))&lt;&gt;"Ativo",TRUE),IFERROR(INDEX(Produtos!$L$4:$L$103,MATCH($C182,Produtos!$A$4:$A$103,0))&lt;&gt;"OK",TRUE),COUNTIF(Regras!$A$4:$A$103,$D182)&lt;&gt;1,IFERROR(INDEX(Regras!$O$4:$O$103,MATCH($D182,Regras!$A$4:$A$103,0))&lt;&gt;"Sim",TRUE),IFERROR(INDEX(Regras!$P$4:$P$103,MATCH($D182,Regras!$A$4:$A$103,0))&lt;&gt;"OK",TRUE),NOT(ISNUMBER($E182)),$E182&lt;=0,NOT(ISNUMBER($F182)),$F182&lt;0,$F182&gt;5,NOT(ISNUMBER($H182)),$H182&lt;0,$H182&lt;&gt;INT($H182),AND($G182&lt;&gt;"",OR(NOT(ISNUMBER($G182)),$G182&lt;=0))),"Revisar","Pronta")))</f>
        <v/>
      </c>
    </row>
    <row r="183">
      <c r="A183" s="16" t="n"/>
      <c r="B183" s="24" t="n"/>
      <c r="C183" s="16" t="n"/>
      <c r="D183" s="16" t="n"/>
      <c r="E183" s="17" t="n"/>
      <c r="F183" s="18" t="n"/>
      <c r="G183" s="17" t="n"/>
      <c r="H183" s="20" t="n"/>
      <c r="I183" s="16" t="n"/>
      <c r="J183" s="17" t="n"/>
      <c r="K183" s="25" t="n"/>
      <c r="L183" s="26">
        <f>IF($C183="","",IFERROR(INDEX(Produtos!$B$4:$B$103,MATCH($C183,Produtos!$A$4:$A$103,0)),""))</f>
        <v/>
      </c>
      <c r="M183" s="26">
        <f>IF($C183="","",IFERROR(INDEX(Produtos!$C$4:$C$103,MATCH($C183,Produtos!$A$4:$A$103,0)),""))</f>
        <v/>
      </c>
      <c r="N183" s="19">
        <f>IF($C183="","",IFERROR(INDEX(Produtos!$D$4:$D$103,MATCH($C183,Produtos!$A$4:$A$103,0)),""))</f>
        <v/>
      </c>
      <c r="O183" s="27">
        <f>IF($C183="","",IFERROR(INDEX(Produtos!$E$4:$E$103,MATCH($C183,Produtos!$A$4:$A$103,0)),""))</f>
        <v/>
      </c>
      <c r="P183" s="19">
        <f>IF($C183="","",IFERROR(INDEX(Produtos!$G$4:$G$103,MATCH($C183,Produtos!$A$4:$A$103,0)),""))</f>
        <v/>
      </c>
      <c r="Q183" s="19">
        <f>IF($C183="","",IFERROR(INDEX(Produtos!$H$4:$H$103,MATCH($C183,Produtos!$A$4:$A$103,0)),""))</f>
        <v/>
      </c>
      <c r="R183" s="19">
        <f>IF($C183="","",IFERROR(INDEX(Produtos!$I$4:$I$103,MATCH($C183,Produtos!$A$4:$A$103,0)),""))</f>
        <v/>
      </c>
      <c r="S183" s="28">
        <f>IF($C183="","",IFERROR(INDEX(Produtos!$J$4:$J$103,MATCH($C183,Produtos!$A$4:$A$103,0)),""))</f>
        <v/>
      </c>
      <c r="T183" s="27">
        <f>IF($AG183&lt;&gt;"Pronta","",IFERROR(IF($F183&lt;=INDEX(Regras!$C$4:$C$103,MATCH($D183,Regras!$A$4:$A$103,0)),INDEX(Regras!$E$4:$E$103,MATCH($D183,Regras!$A$4:$A$103,0)),IF($F183&gt;=INDEX(Regras!$D$4:$D$103,MATCH($D183,Regras!$A$4:$A$103,0)),INDEX(Regras!$F$4:$F$103,MATCH($D183,Regras!$A$4:$A$103,0)),0)),""))</f>
        <v/>
      </c>
      <c r="U183" s="27">
        <f>IF($AG183&lt;&gt;"Pronta","",IFERROR(IF($G183="",0,IF($G183&lt;=$E183*(1-INDEX(Regras!$G$4:$G$103,MATCH($D183,Regras!$A$4:$A$103,0))),INDEX(Regras!$H$4:$H$103,MATCH($D183,Regras!$A$4:$A$103,0)),IF($G183&gt;=$E183*(1+INDEX(Regras!$G$4:$G$103,MATCH($D183,Regras!$A$4:$A$103,0))),INDEX(Regras!$I$4:$I$103,MATCH($D183,Regras!$A$4:$A$103,0)),0))),""))</f>
        <v/>
      </c>
      <c r="V183" s="27">
        <f>IF($AG183&lt;&gt;"Pronta","",IFERROR(IF($H183/$S183&lt;=INDEX(Regras!$J$4:$J$103,MATCH($D183,Regras!$A$4:$A$103,0)),INDEX(Regras!$L$4:$L$103,MATCH($D183,Regras!$A$4:$A$103,0)),IF($H183/$S183&gt;=INDEX(Regras!$K$4:$K$103,MATCH($D183,Regras!$A$4:$A$103,0)),INDEX(Regras!$M$4:$M$103,MATCH($D183,Regras!$A$4:$A$103,0)),0)),""))</f>
        <v/>
      </c>
      <c r="W183" s="27">
        <f>IF($AG183&lt;&gt;"Pronta","",SUM($T183:$V183))</f>
        <v/>
      </c>
      <c r="X183" s="27">
        <f>IF($AG183&lt;&gt;"Pronta","",IFERROR(MAX(-INDEX(Regras!$N$4:$N$103,MATCH($D183,Regras!$A$4:$A$103,0)),MIN(INDEX(Regras!$N$4:$N$103,MATCH($D183,Regras!$A$4:$A$103,0)),$W183)),""))</f>
        <v/>
      </c>
      <c r="Y183" s="19">
        <f>IF($AG183&lt;&gt;"Pronta","",IFERROR(ROUND($E183*(1+$X183),2),""))</f>
        <v/>
      </c>
      <c r="Z183" s="29">
        <f>IF(OR($AG183&lt;&gt;"Pronta",$Q183="",$R183=""),"",IFERROR(ROUND(MIN($R183,MAX($Q183,$Y183)),2),""))</f>
        <v/>
      </c>
      <c r="AA183" s="27">
        <f>IF(OR($E183="",$Z183=""),"",IFERROR($Z183/$E183-1,""))</f>
        <v/>
      </c>
      <c r="AB183" s="26">
        <f>IF($Z183="","",IF($Y183&lt;$Q183,"Piso",IF($Y183&gt;$R183,"Teto","Nenhuma")))</f>
        <v/>
      </c>
      <c r="AC183" s="21">
        <f>IF($A183="","",IF($AG183&lt;&gt;"Pronta","Aguardando dados válidos",_xlfn.TEXTJOIN(" | ",TRUE,IF($T183&gt;0,"Demanda: aumento",IF($T183&lt;0,"Demanda: redução","")),IF($U183&gt;0,"Concorrência: aumento",IF($U183&lt;0,"Concorrência: redução","")),IF($V183&gt;0,"Estoque: aumento",IF($V183&lt;0,"Estoque: redução","")),IF(ABS($W183-$X183)&gt;0.0000001,"Limite da rodada aplicado",""),IF($AB183="Piso","Piso vigente aplicado",IF($AB183="Teto","Teto aplicado","")),IF(AND($T183=0,$U183=0,$V183=0),"Sem gatilho de reajuste",""))))</f>
        <v/>
      </c>
      <c r="AD183" s="21">
        <f>IF(OR($A183="",$AG183&lt;&gt;"Pronta"),"",_xlfn.TEXTJOIN(" | ",TRUE,IF($E183&lt;$Q183,"Preço atual abaixo do piso",""),IF($E183&gt;$R183,"Preço atual acima do teto",""),IF(AND($N183&gt;0,$E183&gt;0,1-$N183/$E183&lt;$O183),"Margem estimada do preço atual abaixo do mínimo",""),IF($G183="","Preço concorrente não informado",""),IF($AB183="Piso","Recomendação travada no piso",""),IF($AB183="Teto","Recomendação travada no teto","")))</f>
        <v/>
      </c>
      <c r="AE183" s="19">
        <f>IF($AG183&lt;&gt;"Pronta","",IF($I183="Aprovar recomendação",$Z183,IF($I183="Manter preço atual",$E183,IF($I183="Definir manualmente",$J183,""))))</f>
        <v/>
      </c>
      <c r="AF183" s="21">
        <f>IF($A183="","",IF($AG183&lt;&gt;"Pronta","Aguardando correção",IF(OR($I183="",$I183="Pendente"),"Decisão pendente",IF(AND($I183="Definir manualmente",OR($J183="",$J183&lt;=0)),"Informe o preço manual",IF(OR($AE183&lt;$Q183,$AE183&gt;$R183),"Preço final fora do piso/teto","OK")))))</f>
        <v/>
      </c>
      <c r="AG183" s="26">
        <f>IF(COUNTA($A183:$K183)=0,"",IF(OR($A183="",$B183="",$C183="",$D183="",$E183="",$F183="",$H183=""),"Incompleta",IF(OR(COUNTIF($A$5:$A$204,$A183)&gt;1,NOT(ISNUMBER($B183)),COUNTIF(Produtos!$A$4:$A$103,$C183)&lt;&gt;1,IFERROR(INDEX(Produtos!$K$4:$K$103,MATCH($C183,Produtos!$A$4:$A$103,0))&lt;&gt;"Ativo",TRUE),IFERROR(INDEX(Produtos!$L$4:$L$103,MATCH($C183,Produtos!$A$4:$A$103,0))&lt;&gt;"OK",TRUE),COUNTIF(Regras!$A$4:$A$103,$D183)&lt;&gt;1,IFERROR(INDEX(Regras!$O$4:$O$103,MATCH($D183,Regras!$A$4:$A$103,0))&lt;&gt;"Sim",TRUE),IFERROR(INDEX(Regras!$P$4:$P$103,MATCH($D183,Regras!$A$4:$A$103,0))&lt;&gt;"OK",TRUE),NOT(ISNUMBER($E183)),$E183&lt;=0,NOT(ISNUMBER($F183)),$F183&lt;0,$F183&gt;5,NOT(ISNUMBER($H183)),$H183&lt;0,$H183&lt;&gt;INT($H183),AND($G183&lt;&gt;"",OR(NOT(ISNUMBER($G183)),$G183&lt;=0))),"Revisar","Pronta")))</f>
        <v/>
      </c>
    </row>
    <row r="184">
      <c r="A184" s="16" t="n"/>
      <c r="B184" s="24" t="n"/>
      <c r="C184" s="16" t="n"/>
      <c r="D184" s="16" t="n"/>
      <c r="E184" s="17" t="n"/>
      <c r="F184" s="18" t="n"/>
      <c r="G184" s="17" t="n"/>
      <c r="H184" s="20" t="n"/>
      <c r="I184" s="16" t="n"/>
      <c r="J184" s="17" t="n"/>
      <c r="K184" s="25" t="n"/>
      <c r="L184" s="26">
        <f>IF($C184="","",IFERROR(INDEX(Produtos!$B$4:$B$103,MATCH($C184,Produtos!$A$4:$A$103,0)),""))</f>
        <v/>
      </c>
      <c r="M184" s="26">
        <f>IF($C184="","",IFERROR(INDEX(Produtos!$C$4:$C$103,MATCH($C184,Produtos!$A$4:$A$103,0)),""))</f>
        <v/>
      </c>
      <c r="N184" s="19">
        <f>IF($C184="","",IFERROR(INDEX(Produtos!$D$4:$D$103,MATCH($C184,Produtos!$A$4:$A$103,0)),""))</f>
        <v/>
      </c>
      <c r="O184" s="27">
        <f>IF($C184="","",IFERROR(INDEX(Produtos!$E$4:$E$103,MATCH($C184,Produtos!$A$4:$A$103,0)),""))</f>
        <v/>
      </c>
      <c r="P184" s="19">
        <f>IF($C184="","",IFERROR(INDEX(Produtos!$G$4:$G$103,MATCH($C184,Produtos!$A$4:$A$103,0)),""))</f>
        <v/>
      </c>
      <c r="Q184" s="19">
        <f>IF($C184="","",IFERROR(INDEX(Produtos!$H$4:$H$103,MATCH($C184,Produtos!$A$4:$A$103,0)),""))</f>
        <v/>
      </c>
      <c r="R184" s="19">
        <f>IF($C184="","",IFERROR(INDEX(Produtos!$I$4:$I$103,MATCH($C184,Produtos!$A$4:$A$103,0)),""))</f>
        <v/>
      </c>
      <c r="S184" s="28">
        <f>IF($C184="","",IFERROR(INDEX(Produtos!$J$4:$J$103,MATCH($C184,Produtos!$A$4:$A$103,0)),""))</f>
        <v/>
      </c>
      <c r="T184" s="27">
        <f>IF($AG184&lt;&gt;"Pronta","",IFERROR(IF($F184&lt;=INDEX(Regras!$C$4:$C$103,MATCH($D184,Regras!$A$4:$A$103,0)),INDEX(Regras!$E$4:$E$103,MATCH($D184,Regras!$A$4:$A$103,0)),IF($F184&gt;=INDEX(Regras!$D$4:$D$103,MATCH($D184,Regras!$A$4:$A$103,0)),INDEX(Regras!$F$4:$F$103,MATCH($D184,Regras!$A$4:$A$103,0)),0)),""))</f>
        <v/>
      </c>
      <c r="U184" s="27">
        <f>IF($AG184&lt;&gt;"Pronta","",IFERROR(IF($G184="",0,IF($G184&lt;=$E184*(1-INDEX(Regras!$G$4:$G$103,MATCH($D184,Regras!$A$4:$A$103,0))),INDEX(Regras!$H$4:$H$103,MATCH($D184,Regras!$A$4:$A$103,0)),IF($G184&gt;=$E184*(1+INDEX(Regras!$G$4:$G$103,MATCH($D184,Regras!$A$4:$A$103,0))),INDEX(Regras!$I$4:$I$103,MATCH($D184,Regras!$A$4:$A$103,0)),0))),""))</f>
        <v/>
      </c>
      <c r="V184" s="27">
        <f>IF($AG184&lt;&gt;"Pronta","",IFERROR(IF($H184/$S184&lt;=INDEX(Regras!$J$4:$J$103,MATCH($D184,Regras!$A$4:$A$103,0)),INDEX(Regras!$L$4:$L$103,MATCH($D184,Regras!$A$4:$A$103,0)),IF($H184/$S184&gt;=INDEX(Regras!$K$4:$K$103,MATCH($D184,Regras!$A$4:$A$103,0)),INDEX(Regras!$M$4:$M$103,MATCH($D184,Regras!$A$4:$A$103,0)),0)),""))</f>
        <v/>
      </c>
      <c r="W184" s="27">
        <f>IF($AG184&lt;&gt;"Pronta","",SUM($T184:$V184))</f>
        <v/>
      </c>
      <c r="X184" s="27">
        <f>IF($AG184&lt;&gt;"Pronta","",IFERROR(MAX(-INDEX(Regras!$N$4:$N$103,MATCH($D184,Regras!$A$4:$A$103,0)),MIN(INDEX(Regras!$N$4:$N$103,MATCH($D184,Regras!$A$4:$A$103,0)),$W184)),""))</f>
        <v/>
      </c>
      <c r="Y184" s="19">
        <f>IF($AG184&lt;&gt;"Pronta","",IFERROR(ROUND($E184*(1+$X184),2),""))</f>
        <v/>
      </c>
      <c r="Z184" s="29">
        <f>IF(OR($AG184&lt;&gt;"Pronta",$Q184="",$R184=""),"",IFERROR(ROUND(MIN($R184,MAX($Q184,$Y184)),2),""))</f>
        <v/>
      </c>
      <c r="AA184" s="27">
        <f>IF(OR($E184="",$Z184=""),"",IFERROR($Z184/$E184-1,""))</f>
        <v/>
      </c>
      <c r="AB184" s="26">
        <f>IF($Z184="","",IF($Y184&lt;$Q184,"Piso",IF($Y184&gt;$R184,"Teto","Nenhuma")))</f>
        <v/>
      </c>
      <c r="AC184" s="21">
        <f>IF($A184="","",IF($AG184&lt;&gt;"Pronta","Aguardando dados válidos",_xlfn.TEXTJOIN(" | ",TRUE,IF($T184&gt;0,"Demanda: aumento",IF($T184&lt;0,"Demanda: redução","")),IF($U184&gt;0,"Concorrência: aumento",IF($U184&lt;0,"Concorrência: redução","")),IF($V184&gt;0,"Estoque: aumento",IF($V184&lt;0,"Estoque: redução","")),IF(ABS($W184-$X184)&gt;0.0000001,"Limite da rodada aplicado",""),IF($AB184="Piso","Piso vigente aplicado",IF($AB184="Teto","Teto aplicado","")),IF(AND($T184=0,$U184=0,$V184=0),"Sem gatilho de reajuste",""))))</f>
        <v/>
      </c>
      <c r="AD184" s="21">
        <f>IF(OR($A184="",$AG184&lt;&gt;"Pronta"),"",_xlfn.TEXTJOIN(" | ",TRUE,IF($E184&lt;$Q184,"Preço atual abaixo do piso",""),IF($E184&gt;$R184,"Preço atual acima do teto",""),IF(AND($N184&gt;0,$E184&gt;0,1-$N184/$E184&lt;$O184),"Margem estimada do preço atual abaixo do mínimo",""),IF($G184="","Preço concorrente não informado",""),IF($AB184="Piso","Recomendação travada no piso",""),IF($AB184="Teto","Recomendação travada no teto","")))</f>
        <v/>
      </c>
      <c r="AE184" s="19">
        <f>IF($AG184&lt;&gt;"Pronta","",IF($I184="Aprovar recomendação",$Z184,IF($I184="Manter preço atual",$E184,IF($I184="Definir manualmente",$J184,""))))</f>
        <v/>
      </c>
      <c r="AF184" s="21">
        <f>IF($A184="","",IF($AG184&lt;&gt;"Pronta","Aguardando correção",IF(OR($I184="",$I184="Pendente"),"Decisão pendente",IF(AND($I184="Definir manualmente",OR($J184="",$J184&lt;=0)),"Informe o preço manual",IF(OR($AE184&lt;$Q184,$AE184&gt;$R184),"Preço final fora do piso/teto","OK")))))</f>
        <v/>
      </c>
      <c r="AG184" s="26">
        <f>IF(COUNTA($A184:$K184)=0,"",IF(OR($A184="",$B184="",$C184="",$D184="",$E184="",$F184="",$H184=""),"Incompleta",IF(OR(COUNTIF($A$5:$A$204,$A184)&gt;1,NOT(ISNUMBER($B184)),COUNTIF(Produtos!$A$4:$A$103,$C184)&lt;&gt;1,IFERROR(INDEX(Produtos!$K$4:$K$103,MATCH($C184,Produtos!$A$4:$A$103,0))&lt;&gt;"Ativo",TRUE),IFERROR(INDEX(Produtos!$L$4:$L$103,MATCH($C184,Produtos!$A$4:$A$103,0))&lt;&gt;"OK",TRUE),COUNTIF(Regras!$A$4:$A$103,$D184)&lt;&gt;1,IFERROR(INDEX(Regras!$O$4:$O$103,MATCH($D184,Regras!$A$4:$A$103,0))&lt;&gt;"Sim",TRUE),IFERROR(INDEX(Regras!$P$4:$P$103,MATCH($D184,Regras!$A$4:$A$103,0))&lt;&gt;"OK",TRUE),NOT(ISNUMBER($E184)),$E184&lt;=0,NOT(ISNUMBER($F184)),$F184&lt;0,$F184&gt;5,NOT(ISNUMBER($H184)),$H184&lt;0,$H184&lt;&gt;INT($H184),AND($G184&lt;&gt;"",OR(NOT(ISNUMBER($G184)),$G184&lt;=0))),"Revisar","Pronta")))</f>
        <v/>
      </c>
    </row>
    <row r="185">
      <c r="A185" s="16" t="n"/>
      <c r="B185" s="24" t="n"/>
      <c r="C185" s="16" t="n"/>
      <c r="D185" s="16" t="n"/>
      <c r="E185" s="17" t="n"/>
      <c r="F185" s="18" t="n"/>
      <c r="G185" s="17" t="n"/>
      <c r="H185" s="20" t="n"/>
      <c r="I185" s="16" t="n"/>
      <c r="J185" s="17" t="n"/>
      <c r="K185" s="25" t="n"/>
      <c r="L185" s="26">
        <f>IF($C185="","",IFERROR(INDEX(Produtos!$B$4:$B$103,MATCH($C185,Produtos!$A$4:$A$103,0)),""))</f>
        <v/>
      </c>
      <c r="M185" s="26">
        <f>IF($C185="","",IFERROR(INDEX(Produtos!$C$4:$C$103,MATCH($C185,Produtos!$A$4:$A$103,0)),""))</f>
        <v/>
      </c>
      <c r="N185" s="19">
        <f>IF($C185="","",IFERROR(INDEX(Produtos!$D$4:$D$103,MATCH($C185,Produtos!$A$4:$A$103,0)),""))</f>
        <v/>
      </c>
      <c r="O185" s="27">
        <f>IF($C185="","",IFERROR(INDEX(Produtos!$E$4:$E$103,MATCH($C185,Produtos!$A$4:$A$103,0)),""))</f>
        <v/>
      </c>
      <c r="P185" s="19">
        <f>IF($C185="","",IFERROR(INDEX(Produtos!$G$4:$G$103,MATCH($C185,Produtos!$A$4:$A$103,0)),""))</f>
        <v/>
      </c>
      <c r="Q185" s="19">
        <f>IF($C185="","",IFERROR(INDEX(Produtos!$H$4:$H$103,MATCH($C185,Produtos!$A$4:$A$103,0)),""))</f>
        <v/>
      </c>
      <c r="R185" s="19">
        <f>IF($C185="","",IFERROR(INDEX(Produtos!$I$4:$I$103,MATCH($C185,Produtos!$A$4:$A$103,0)),""))</f>
        <v/>
      </c>
      <c r="S185" s="28">
        <f>IF($C185="","",IFERROR(INDEX(Produtos!$J$4:$J$103,MATCH($C185,Produtos!$A$4:$A$103,0)),""))</f>
        <v/>
      </c>
      <c r="T185" s="27">
        <f>IF($AG185&lt;&gt;"Pronta","",IFERROR(IF($F185&lt;=INDEX(Regras!$C$4:$C$103,MATCH($D185,Regras!$A$4:$A$103,0)),INDEX(Regras!$E$4:$E$103,MATCH($D185,Regras!$A$4:$A$103,0)),IF($F185&gt;=INDEX(Regras!$D$4:$D$103,MATCH($D185,Regras!$A$4:$A$103,0)),INDEX(Regras!$F$4:$F$103,MATCH($D185,Regras!$A$4:$A$103,0)),0)),""))</f>
        <v/>
      </c>
      <c r="U185" s="27">
        <f>IF($AG185&lt;&gt;"Pronta","",IFERROR(IF($G185="",0,IF($G185&lt;=$E185*(1-INDEX(Regras!$G$4:$G$103,MATCH($D185,Regras!$A$4:$A$103,0))),INDEX(Regras!$H$4:$H$103,MATCH($D185,Regras!$A$4:$A$103,0)),IF($G185&gt;=$E185*(1+INDEX(Regras!$G$4:$G$103,MATCH($D185,Regras!$A$4:$A$103,0))),INDEX(Regras!$I$4:$I$103,MATCH($D185,Regras!$A$4:$A$103,0)),0))),""))</f>
        <v/>
      </c>
      <c r="V185" s="27">
        <f>IF($AG185&lt;&gt;"Pronta","",IFERROR(IF($H185/$S185&lt;=INDEX(Regras!$J$4:$J$103,MATCH($D185,Regras!$A$4:$A$103,0)),INDEX(Regras!$L$4:$L$103,MATCH($D185,Regras!$A$4:$A$103,0)),IF($H185/$S185&gt;=INDEX(Regras!$K$4:$K$103,MATCH($D185,Regras!$A$4:$A$103,0)),INDEX(Regras!$M$4:$M$103,MATCH($D185,Regras!$A$4:$A$103,0)),0)),""))</f>
        <v/>
      </c>
      <c r="W185" s="27">
        <f>IF($AG185&lt;&gt;"Pronta","",SUM($T185:$V185))</f>
        <v/>
      </c>
      <c r="X185" s="27">
        <f>IF($AG185&lt;&gt;"Pronta","",IFERROR(MAX(-INDEX(Regras!$N$4:$N$103,MATCH($D185,Regras!$A$4:$A$103,0)),MIN(INDEX(Regras!$N$4:$N$103,MATCH($D185,Regras!$A$4:$A$103,0)),$W185)),""))</f>
        <v/>
      </c>
      <c r="Y185" s="19">
        <f>IF($AG185&lt;&gt;"Pronta","",IFERROR(ROUND($E185*(1+$X185),2),""))</f>
        <v/>
      </c>
      <c r="Z185" s="29">
        <f>IF(OR($AG185&lt;&gt;"Pronta",$Q185="",$R185=""),"",IFERROR(ROUND(MIN($R185,MAX($Q185,$Y185)),2),""))</f>
        <v/>
      </c>
      <c r="AA185" s="27">
        <f>IF(OR($E185="",$Z185=""),"",IFERROR($Z185/$E185-1,""))</f>
        <v/>
      </c>
      <c r="AB185" s="26">
        <f>IF($Z185="","",IF($Y185&lt;$Q185,"Piso",IF($Y185&gt;$R185,"Teto","Nenhuma")))</f>
        <v/>
      </c>
      <c r="AC185" s="21">
        <f>IF($A185="","",IF($AG185&lt;&gt;"Pronta","Aguardando dados válidos",_xlfn.TEXTJOIN(" | ",TRUE,IF($T185&gt;0,"Demanda: aumento",IF($T185&lt;0,"Demanda: redução","")),IF($U185&gt;0,"Concorrência: aumento",IF($U185&lt;0,"Concorrência: redução","")),IF($V185&gt;0,"Estoque: aumento",IF($V185&lt;0,"Estoque: redução","")),IF(ABS($W185-$X185)&gt;0.0000001,"Limite da rodada aplicado",""),IF($AB185="Piso","Piso vigente aplicado",IF($AB185="Teto","Teto aplicado","")),IF(AND($T185=0,$U185=0,$V185=0),"Sem gatilho de reajuste",""))))</f>
        <v/>
      </c>
      <c r="AD185" s="21">
        <f>IF(OR($A185="",$AG185&lt;&gt;"Pronta"),"",_xlfn.TEXTJOIN(" | ",TRUE,IF($E185&lt;$Q185,"Preço atual abaixo do piso",""),IF($E185&gt;$R185,"Preço atual acima do teto",""),IF(AND($N185&gt;0,$E185&gt;0,1-$N185/$E185&lt;$O185),"Margem estimada do preço atual abaixo do mínimo",""),IF($G185="","Preço concorrente não informado",""),IF($AB185="Piso","Recomendação travada no piso",""),IF($AB185="Teto","Recomendação travada no teto","")))</f>
        <v/>
      </c>
      <c r="AE185" s="19">
        <f>IF($AG185&lt;&gt;"Pronta","",IF($I185="Aprovar recomendação",$Z185,IF($I185="Manter preço atual",$E185,IF($I185="Definir manualmente",$J185,""))))</f>
        <v/>
      </c>
      <c r="AF185" s="21">
        <f>IF($A185="","",IF($AG185&lt;&gt;"Pronta","Aguardando correção",IF(OR($I185="",$I185="Pendente"),"Decisão pendente",IF(AND($I185="Definir manualmente",OR($J185="",$J185&lt;=0)),"Informe o preço manual",IF(OR($AE185&lt;$Q185,$AE185&gt;$R185),"Preço final fora do piso/teto","OK")))))</f>
        <v/>
      </c>
      <c r="AG185" s="26">
        <f>IF(COUNTA($A185:$K185)=0,"",IF(OR($A185="",$B185="",$C185="",$D185="",$E185="",$F185="",$H185=""),"Incompleta",IF(OR(COUNTIF($A$5:$A$204,$A185)&gt;1,NOT(ISNUMBER($B185)),COUNTIF(Produtos!$A$4:$A$103,$C185)&lt;&gt;1,IFERROR(INDEX(Produtos!$K$4:$K$103,MATCH($C185,Produtos!$A$4:$A$103,0))&lt;&gt;"Ativo",TRUE),IFERROR(INDEX(Produtos!$L$4:$L$103,MATCH($C185,Produtos!$A$4:$A$103,0))&lt;&gt;"OK",TRUE),COUNTIF(Regras!$A$4:$A$103,$D185)&lt;&gt;1,IFERROR(INDEX(Regras!$O$4:$O$103,MATCH($D185,Regras!$A$4:$A$103,0))&lt;&gt;"Sim",TRUE),IFERROR(INDEX(Regras!$P$4:$P$103,MATCH($D185,Regras!$A$4:$A$103,0))&lt;&gt;"OK",TRUE),NOT(ISNUMBER($E185)),$E185&lt;=0,NOT(ISNUMBER($F185)),$F185&lt;0,$F185&gt;5,NOT(ISNUMBER($H185)),$H185&lt;0,$H185&lt;&gt;INT($H185),AND($G185&lt;&gt;"",OR(NOT(ISNUMBER($G185)),$G185&lt;=0))),"Revisar","Pronta")))</f>
        <v/>
      </c>
    </row>
    <row r="186">
      <c r="A186" s="16" t="n"/>
      <c r="B186" s="24" t="n"/>
      <c r="C186" s="16" t="n"/>
      <c r="D186" s="16" t="n"/>
      <c r="E186" s="17" t="n"/>
      <c r="F186" s="18" t="n"/>
      <c r="G186" s="17" t="n"/>
      <c r="H186" s="20" t="n"/>
      <c r="I186" s="16" t="n"/>
      <c r="J186" s="17" t="n"/>
      <c r="K186" s="25" t="n"/>
      <c r="L186" s="26">
        <f>IF($C186="","",IFERROR(INDEX(Produtos!$B$4:$B$103,MATCH($C186,Produtos!$A$4:$A$103,0)),""))</f>
        <v/>
      </c>
      <c r="M186" s="26">
        <f>IF($C186="","",IFERROR(INDEX(Produtos!$C$4:$C$103,MATCH($C186,Produtos!$A$4:$A$103,0)),""))</f>
        <v/>
      </c>
      <c r="N186" s="19">
        <f>IF($C186="","",IFERROR(INDEX(Produtos!$D$4:$D$103,MATCH($C186,Produtos!$A$4:$A$103,0)),""))</f>
        <v/>
      </c>
      <c r="O186" s="27">
        <f>IF($C186="","",IFERROR(INDEX(Produtos!$E$4:$E$103,MATCH($C186,Produtos!$A$4:$A$103,0)),""))</f>
        <v/>
      </c>
      <c r="P186" s="19">
        <f>IF($C186="","",IFERROR(INDEX(Produtos!$G$4:$G$103,MATCH($C186,Produtos!$A$4:$A$103,0)),""))</f>
        <v/>
      </c>
      <c r="Q186" s="19">
        <f>IF($C186="","",IFERROR(INDEX(Produtos!$H$4:$H$103,MATCH($C186,Produtos!$A$4:$A$103,0)),""))</f>
        <v/>
      </c>
      <c r="R186" s="19">
        <f>IF($C186="","",IFERROR(INDEX(Produtos!$I$4:$I$103,MATCH($C186,Produtos!$A$4:$A$103,0)),""))</f>
        <v/>
      </c>
      <c r="S186" s="28">
        <f>IF($C186="","",IFERROR(INDEX(Produtos!$J$4:$J$103,MATCH($C186,Produtos!$A$4:$A$103,0)),""))</f>
        <v/>
      </c>
      <c r="T186" s="27">
        <f>IF($AG186&lt;&gt;"Pronta","",IFERROR(IF($F186&lt;=INDEX(Regras!$C$4:$C$103,MATCH($D186,Regras!$A$4:$A$103,0)),INDEX(Regras!$E$4:$E$103,MATCH($D186,Regras!$A$4:$A$103,0)),IF($F186&gt;=INDEX(Regras!$D$4:$D$103,MATCH($D186,Regras!$A$4:$A$103,0)),INDEX(Regras!$F$4:$F$103,MATCH($D186,Regras!$A$4:$A$103,0)),0)),""))</f>
        <v/>
      </c>
      <c r="U186" s="27">
        <f>IF($AG186&lt;&gt;"Pronta","",IFERROR(IF($G186="",0,IF($G186&lt;=$E186*(1-INDEX(Regras!$G$4:$G$103,MATCH($D186,Regras!$A$4:$A$103,0))),INDEX(Regras!$H$4:$H$103,MATCH($D186,Regras!$A$4:$A$103,0)),IF($G186&gt;=$E186*(1+INDEX(Regras!$G$4:$G$103,MATCH($D186,Regras!$A$4:$A$103,0))),INDEX(Regras!$I$4:$I$103,MATCH($D186,Regras!$A$4:$A$103,0)),0))),""))</f>
        <v/>
      </c>
      <c r="V186" s="27">
        <f>IF($AG186&lt;&gt;"Pronta","",IFERROR(IF($H186/$S186&lt;=INDEX(Regras!$J$4:$J$103,MATCH($D186,Regras!$A$4:$A$103,0)),INDEX(Regras!$L$4:$L$103,MATCH($D186,Regras!$A$4:$A$103,0)),IF($H186/$S186&gt;=INDEX(Regras!$K$4:$K$103,MATCH($D186,Regras!$A$4:$A$103,0)),INDEX(Regras!$M$4:$M$103,MATCH($D186,Regras!$A$4:$A$103,0)),0)),""))</f>
        <v/>
      </c>
      <c r="W186" s="27">
        <f>IF($AG186&lt;&gt;"Pronta","",SUM($T186:$V186))</f>
        <v/>
      </c>
      <c r="X186" s="27">
        <f>IF($AG186&lt;&gt;"Pronta","",IFERROR(MAX(-INDEX(Regras!$N$4:$N$103,MATCH($D186,Regras!$A$4:$A$103,0)),MIN(INDEX(Regras!$N$4:$N$103,MATCH($D186,Regras!$A$4:$A$103,0)),$W186)),""))</f>
        <v/>
      </c>
      <c r="Y186" s="19">
        <f>IF($AG186&lt;&gt;"Pronta","",IFERROR(ROUND($E186*(1+$X186),2),""))</f>
        <v/>
      </c>
      <c r="Z186" s="29">
        <f>IF(OR($AG186&lt;&gt;"Pronta",$Q186="",$R186=""),"",IFERROR(ROUND(MIN($R186,MAX($Q186,$Y186)),2),""))</f>
        <v/>
      </c>
      <c r="AA186" s="27">
        <f>IF(OR($E186="",$Z186=""),"",IFERROR($Z186/$E186-1,""))</f>
        <v/>
      </c>
      <c r="AB186" s="26">
        <f>IF($Z186="","",IF($Y186&lt;$Q186,"Piso",IF($Y186&gt;$R186,"Teto","Nenhuma")))</f>
        <v/>
      </c>
      <c r="AC186" s="21">
        <f>IF($A186="","",IF($AG186&lt;&gt;"Pronta","Aguardando dados válidos",_xlfn.TEXTJOIN(" | ",TRUE,IF($T186&gt;0,"Demanda: aumento",IF($T186&lt;0,"Demanda: redução","")),IF($U186&gt;0,"Concorrência: aumento",IF($U186&lt;0,"Concorrência: redução","")),IF($V186&gt;0,"Estoque: aumento",IF($V186&lt;0,"Estoque: redução","")),IF(ABS($W186-$X186)&gt;0.0000001,"Limite da rodada aplicado",""),IF($AB186="Piso","Piso vigente aplicado",IF($AB186="Teto","Teto aplicado","")),IF(AND($T186=0,$U186=0,$V186=0),"Sem gatilho de reajuste",""))))</f>
        <v/>
      </c>
      <c r="AD186" s="21">
        <f>IF(OR($A186="",$AG186&lt;&gt;"Pronta"),"",_xlfn.TEXTJOIN(" | ",TRUE,IF($E186&lt;$Q186,"Preço atual abaixo do piso",""),IF($E186&gt;$R186,"Preço atual acima do teto",""),IF(AND($N186&gt;0,$E186&gt;0,1-$N186/$E186&lt;$O186),"Margem estimada do preço atual abaixo do mínimo",""),IF($G186="","Preço concorrente não informado",""),IF($AB186="Piso","Recomendação travada no piso",""),IF($AB186="Teto","Recomendação travada no teto","")))</f>
        <v/>
      </c>
      <c r="AE186" s="19">
        <f>IF($AG186&lt;&gt;"Pronta","",IF($I186="Aprovar recomendação",$Z186,IF($I186="Manter preço atual",$E186,IF($I186="Definir manualmente",$J186,""))))</f>
        <v/>
      </c>
      <c r="AF186" s="21">
        <f>IF($A186="","",IF($AG186&lt;&gt;"Pronta","Aguardando correção",IF(OR($I186="",$I186="Pendente"),"Decisão pendente",IF(AND($I186="Definir manualmente",OR($J186="",$J186&lt;=0)),"Informe o preço manual",IF(OR($AE186&lt;$Q186,$AE186&gt;$R186),"Preço final fora do piso/teto","OK")))))</f>
        <v/>
      </c>
      <c r="AG186" s="26">
        <f>IF(COUNTA($A186:$K186)=0,"",IF(OR($A186="",$B186="",$C186="",$D186="",$E186="",$F186="",$H186=""),"Incompleta",IF(OR(COUNTIF($A$5:$A$204,$A186)&gt;1,NOT(ISNUMBER($B186)),COUNTIF(Produtos!$A$4:$A$103,$C186)&lt;&gt;1,IFERROR(INDEX(Produtos!$K$4:$K$103,MATCH($C186,Produtos!$A$4:$A$103,0))&lt;&gt;"Ativo",TRUE),IFERROR(INDEX(Produtos!$L$4:$L$103,MATCH($C186,Produtos!$A$4:$A$103,0))&lt;&gt;"OK",TRUE),COUNTIF(Regras!$A$4:$A$103,$D186)&lt;&gt;1,IFERROR(INDEX(Regras!$O$4:$O$103,MATCH($D186,Regras!$A$4:$A$103,0))&lt;&gt;"Sim",TRUE),IFERROR(INDEX(Regras!$P$4:$P$103,MATCH($D186,Regras!$A$4:$A$103,0))&lt;&gt;"OK",TRUE),NOT(ISNUMBER($E186)),$E186&lt;=0,NOT(ISNUMBER($F186)),$F186&lt;0,$F186&gt;5,NOT(ISNUMBER($H186)),$H186&lt;0,$H186&lt;&gt;INT($H186),AND($G186&lt;&gt;"",OR(NOT(ISNUMBER($G186)),$G186&lt;=0))),"Revisar","Pronta")))</f>
        <v/>
      </c>
    </row>
    <row r="187">
      <c r="A187" s="16" t="n"/>
      <c r="B187" s="24" t="n"/>
      <c r="C187" s="16" t="n"/>
      <c r="D187" s="16" t="n"/>
      <c r="E187" s="17" t="n"/>
      <c r="F187" s="18" t="n"/>
      <c r="G187" s="17" t="n"/>
      <c r="H187" s="20" t="n"/>
      <c r="I187" s="16" t="n"/>
      <c r="J187" s="17" t="n"/>
      <c r="K187" s="25" t="n"/>
      <c r="L187" s="26">
        <f>IF($C187="","",IFERROR(INDEX(Produtos!$B$4:$B$103,MATCH($C187,Produtos!$A$4:$A$103,0)),""))</f>
        <v/>
      </c>
      <c r="M187" s="26">
        <f>IF($C187="","",IFERROR(INDEX(Produtos!$C$4:$C$103,MATCH($C187,Produtos!$A$4:$A$103,0)),""))</f>
        <v/>
      </c>
      <c r="N187" s="19">
        <f>IF($C187="","",IFERROR(INDEX(Produtos!$D$4:$D$103,MATCH($C187,Produtos!$A$4:$A$103,0)),""))</f>
        <v/>
      </c>
      <c r="O187" s="27">
        <f>IF($C187="","",IFERROR(INDEX(Produtos!$E$4:$E$103,MATCH($C187,Produtos!$A$4:$A$103,0)),""))</f>
        <v/>
      </c>
      <c r="P187" s="19">
        <f>IF($C187="","",IFERROR(INDEX(Produtos!$G$4:$G$103,MATCH($C187,Produtos!$A$4:$A$103,0)),""))</f>
        <v/>
      </c>
      <c r="Q187" s="19">
        <f>IF($C187="","",IFERROR(INDEX(Produtos!$H$4:$H$103,MATCH($C187,Produtos!$A$4:$A$103,0)),""))</f>
        <v/>
      </c>
      <c r="R187" s="19">
        <f>IF($C187="","",IFERROR(INDEX(Produtos!$I$4:$I$103,MATCH($C187,Produtos!$A$4:$A$103,0)),""))</f>
        <v/>
      </c>
      <c r="S187" s="28">
        <f>IF($C187="","",IFERROR(INDEX(Produtos!$J$4:$J$103,MATCH($C187,Produtos!$A$4:$A$103,0)),""))</f>
        <v/>
      </c>
      <c r="T187" s="27">
        <f>IF($AG187&lt;&gt;"Pronta","",IFERROR(IF($F187&lt;=INDEX(Regras!$C$4:$C$103,MATCH($D187,Regras!$A$4:$A$103,0)),INDEX(Regras!$E$4:$E$103,MATCH($D187,Regras!$A$4:$A$103,0)),IF($F187&gt;=INDEX(Regras!$D$4:$D$103,MATCH($D187,Regras!$A$4:$A$103,0)),INDEX(Regras!$F$4:$F$103,MATCH($D187,Regras!$A$4:$A$103,0)),0)),""))</f>
        <v/>
      </c>
      <c r="U187" s="27">
        <f>IF($AG187&lt;&gt;"Pronta","",IFERROR(IF($G187="",0,IF($G187&lt;=$E187*(1-INDEX(Regras!$G$4:$G$103,MATCH($D187,Regras!$A$4:$A$103,0))),INDEX(Regras!$H$4:$H$103,MATCH($D187,Regras!$A$4:$A$103,0)),IF($G187&gt;=$E187*(1+INDEX(Regras!$G$4:$G$103,MATCH($D187,Regras!$A$4:$A$103,0))),INDEX(Regras!$I$4:$I$103,MATCH($D187,Regras!$A$4:$A$103,0)),0))),""))</f>
        <v/>
      </c>
      <c r="V187" s="27">
        <f>IF($AG187&lt;&gt;"Pronta","",IFERROR(IF($H187/$S187&lt;=INDEX(Regras!$J$4:$J$103,MATCH($D187,Regras!$A$4:$A$103,0)),INDEX(Regras!$L$4:$L$103,MATCH($D187,Regras!$A$4:$A$103,0)),IF($H187/$S187&gt;=INDEX(Regras!$K$4:$K$103,MATCH($D187,Regras!$A$4:$A$103,0)),INDEX(Regras!$M$4:$M$103,MATCH($D187,Regras!$A$4:$A$103,0)),0)),""))</f>
        <v/>
      </c>
      <c r="W187" s="27">
        <f>IF($AG187&lt;&gt;"Pronta","",SUM($T187:$V187))</f>
        <v/>
      </c>
      <c r="X187" s="27">
        <f>IF($AG187&lt;&gt;"Pronta","",IFERROR(MAX(-INDEX(Regras!$N$4:$N$103,MATCH($D187,Regras!$A$4:$A$103,0)),MIN(INDEX(Regras!$N$4:$N$103,MATCH($D187,Regras!$A$4:$A$103,0)),$W187)),""))</f>
        <v/>
      </c>
      <c r="Y187" s="19">
        <f>IF($AG187&lt;&gt;"Pronta","",IFERROR(ROUND($E187*(1+$X187),2),""))</f>
        <v/>
      </c>
      <c r="Z187" s="29">
        <f>IF(OR($AG187&lt;&gt;"Pronta",$Q187="",$R187=""),"",IFERROR(ROUND(MIN($R187,MAX($Q187,$Y187)),2),""))</f>
        <v/>
      </c>
      <c r="AA187" s="27">
        <f>IF(OR($E187="",$Z187=""),"",IFERROR($Z187/$E187-1,""))</f>
        <v/>
      </c>
      <c r="AB187" s="26">
        <f>IF($Z187="","",IF($Y187&lt;$Q187,"Piso",IF($Y187&gt;$R187,"Teto","Nenhuma")))</f>
        <v/>
      </c>
      <c r="AC187" s="21">
        <f>IF($A187="","",IF($AG187&lt;&gt;"Pronta","Aguardando dados válidos",_xlfn.TEXTJOIN(" | ",TRUE,IF($T187&gt;0,"Demanda: aumento",IF($T187&lt;0,"Demanda: redução","")),IF($U187&gt;0,"Concorrência: aumento",IF($U187&lt;0,"Concorrência: redução","")),IF($V187&gt;0,"Estoque: aumento",IF($V187&lt;0,"Estoque: redução","")),IF(ABS($W187-$X187)&gt;0.0000001,"Limite da rodada aplicado",""),IF($AB187="Piso","Piso vigente aplicado",IF($AB187="Teto","Teto aplicado","")),IF(AND($T187=0,$U187=0,$V187=0),"Sem gatilho de reajuste",""))))</f>
        <v/>
      </c>
      <c r="AD187" s="21">
        <f>IF(OR($A187="",$AG187&lt;&gt;"Pronta"),"",_xlfn.TEXTJOIN(" | ",TRUE,IF($E187&lt;$Q187,"Preço atual abaixo do piso",""),IF($E187&gt;$R187,"Preço atual acima do teto",""),IF(AND($N187&gt;0,$E187&gt;0,1-$N187/$E187&lt;$O187),"Margem estimada do preço atual abaixo do mínimo",""),IF($G187="","Preço concorrente não informado",""),IF($AB187="Piso","Recomendação travada no piso",""),IF($AB187="Teto","Recomendação travada no teto","")))</f>
        <v/>
      </c>
      <c r="AE187" s="19">
        <f>IF($AG187&lt;&gt;"Pronta","",IF($I187="Aprovar recomendação",$Z187,IF($I187="Manter preço atual",$E187,IF($I187="Definir manualmente",$J187,""))))</f>
        <v/>
      </c>
      <c r="AF187" s="21">
        <f>IF($A187="","",IF($AG187&lt;&gt;"Pronta","Aguardando correção",IF(OR($I187="",$I187="Pendente"),"Decisão pendente",IF(AND($I187="Definir manualmente",OR($J187="",$J187&lt;=0)),"Informe o preço manual",IF(OR($AE187&lt;$Q187,$AE187&gt;$R187),"Preço final fora do piso/teto","OK")))))</f>
        <v/>
      </c>
      <c r="AG187" s="26">
        <f>IF(COUNTA($A187:$K187)=0,"",IF(OR($A187="",$B187="",$C187="",$D187="",$E187="",$F187="",$H187=""),"Incompleta",IF(OR(COUNTIF($A$5:$A$204,$A187)&gt;1,NOT(ISNUMBER($B187)),COUNTIF(Produtos!$A$4:$A$103,$C187)&lt;&gt;1,IFERROR(INDEX(Produtos!$K$4:$K$103,MATCH($C187,Produtos!$A$4:$A$103,0))&lt;&gt;"Ativo",TRUE),IFERROR(INDEX(Produtos!$L$4:$L$103,MATCH($C187,Produtos!$A$4:$A$103,0))&lt;&gt;"OK",TRUE),COUNTIF(Regras!$A$4:$A$103,$D187)&lt;&gt;1,IFERROR(INDEX(Regras!$O$4:$O$103,MATCH($D187,Regras!$A$4:$A$103,0))&lt;&gt;"Sim",TRUE),IFERROR(INDEX(Regras!$P$4:$P$103,MATCH($D187,Regras!$A$4:$A$103,0))&lt;&gt;"OK",TRUE),NOT(ISNUMBER($E187)),$E187&lt;=0,NOT(ISNUMBER($F187)),$F187&lt;0,$F187&gt;5,NOT(ISNUMBER($H187)),$H187&lt;0,$H187&lt;&gt;INT($H187),AND($G187&lt;&gt;"",OR(NOT(ISNUMBER($G187)),$G187&lt;=0))),"Revisar","Pronta")))</f>
        <v/>
      </c>
    </row>
    <row r="188">
      <c r="A188" s="16" t="n"/>
      <c r="B188" s="24" t="n"/>
      <c r="C188" s="16" t="n"/>
      <c r="D188" s="16" t="n"/>
      <c r="E188" s="17" t="n"/>
      <c r="F188" s="18" t="n"/>
      <c r="G188" s="17" t="n"/>
      <c r="H188" s="20" t="n"/>
      <c r="I188" s="16" t="n"/>
      <c r="J188" s="17" t="n"/>
      <c r="K188" s="25" t="n"/>
      <c r="L188" s="26">
        <f>IF($C188="","",IFERROR(INDEX(Produtos!$B$4:$B$103,MATCH($C188,Produtos!$A$4:$A$103,0)),""))</f>
        <v/>
      </c>
      <c r="M188" s="26">
        <f>IF($C188="","",IFERROR(INDEX(Produtos!$C$4:$C$103,MATCH($C188,Produtos!$A$4:$A$103,0)),""))</f>
        <v/>
      </c>
      <c r="N188" s="19">
        <f>IF($C188="","",IFERROR(INDEX(Produtos!$D$4:$D$103,MATCH($C188,Produtos!$A$4:$A$103,0)),""))</f>
        <v/>
      </c>
      <c r="O188" s="27">
        <f>IF($C188="","",IFERROR(INDEX(Produtos!$E$4:$E$103,MATCH($C188,Produtos!$A$4:$A$103,0)),""))</f>
        <v/>
      </c>
      <c r="P188" s="19">
        <f>IF($C188="","",IFERROR(INDEX(Produtos!$G$4:$G$103,MATCH($C188,Produtos!$A$4:$A$103,0)),""))</f>
        <v/>
      </c>
      <c r="Q188" s="19">
        <f>IF($C188="","",IFERROR(INDEX(Produtos!$H$4:$H$103,MATCH($C188,Produtos!$A$4:$A$103,0)),""))</f>
        <v/>
      </c>
      <c r="R188" s="19">
        <f>IF($C188="","",IFERROR(INDEX(Produtos!$I$4:$I$103,MATCH($C188,Produtos!$A$4:$A$103,0)),""))</f>
        <v/>
      </c>
      <c r="S188" s="28">
        <f>IF($C188="","",IFERROR(INDEX(Produtos!$J$4:$J$103,MATCH($C188,Produtos!$A$4:$A$103,0)),""))</f>
        <v/>
      </c>
      <c r="T188" s="27">
        <f>IF($AG188&lt;&gt;"Pronta","",IFERROR(IF($F188&lt;=INDEX(Regras!$C$4:$C$103,MATCH($D188,Regras!$A$4:$A$103,0)),INDEX(Regras!$E$4:$E$103,MATCH($D188,Regras!$A$4:$A$103,0)),IF($F188&gt;=INDEX(Regras!$D$4:$D$103,MATCH($D188,Regras!$A$4:$A$103,0)),INDEX(Regras!$F$4:$F$103,MATCH($D188,Regras!$A$4:$A$103,0)),0)),""))</f>
        <v/>
      </c>
      <c r="U188" s="27">
        <f>IF($AG188&lt;&gt;"Pronta","",IFERROR(IF($G188="",0,IF($G188&lt;=$E188*(1-INDEX(Regras!$G$4:$G$103,MATCH($D188,Regras!$A$4:$A$103,0))),INDEX(Regras!$H$4:$H$103,MATCH($D188,Regras!$A$4:$A$103,0)),IF($G188&gt;=$E188*(1+INDEX(Regras!$G$4:$G$103,MATCH($D188,Regras!$A$4:$A$103,0))),INDEX(Regras!$I$4:$I$103,MATCH($D188,Regras!$A$4:$A$103,0)),0))),""))</f>
        <v/>
      </c>
      <c r="V188" s="27">
        <f>IF($AG188&lt;&gt;"Pronta","",IFERROR(IF($H188/$S188&lt;=INDEX(Regras!$J$4:$J$103,MATCH($D188,Regras!$A$4:$A$103,0)),INDEX(Regras!$L$4:$L$103,MATCH($D188,Regras!$A$4:$A$103,0)),IF($H188/$S188&gt;=INDEX(Regras!$K$4:$K$103,MATCH($D188,Regras!$A$4:$A$103,0)),INDEX(Regras!$M$4:$M$103,MATCH($D188,Regras!$A$4:$A$103,0)),0)),""))</f>
        <v/>
      </c>
      <c r="W188" s="27">
        <f>IF($AG188&lt;&gt;"Pronta","",SUM($T188:$V188))</f>
        <v/>
      </c>
      <c r="X188" s="27">
        <f>IF($AG188&lt;&gt;"Pronta","",IFERROR(MAX(-INDEX(Regras!$N$4:$N$103,MATCH($D188,Regras!$A$4:$A$103,0)),MIN(INDEX(Regras!$N$4:$N$103,MATCH($D188,Regras!$A$4:$A$103,0)),$W188)),""))</f>
        <v/>
      </c>
      <c r="Y188" s="19">
        <f>IF($AG188&lt;&gt;"Pronta","",IFERROR(ROUND($E188*(1+$X188),2),""))</f>
        <v/>
      </c>
      <c r="Z188" s="29">
        <f>IF(OR($AG188&lt;&gt;"Pronta",$Q188="",$R188=""),"",IFERROR(ROUND(MIN($R188,MAX($Q188,$Y188)),2),""))</f>
        <v/>
      </c>
      <c r="AA188" s="27">
        <f>IF(OR($E188="",$Z188=""),"",IFERROR($Z188/$E188-1,""))</f>
        <v/>
      </c>
      <c r="AB188" s="26">
        <f>IF($Z188="","",IF($Y188&lt;$Q188,"Piso",IF($Y188&gt;$R188,"Teto","Nenhuma")))</f>
        <v/>
      </c>
      <c r="AC188" s="21">
        <f>IF($A188="","",IF($AG188&lt;&gt;"Pronta","Aguardando dados válidos",_xlfn.TEXTJOIN(" | ",TRUE,IF($T188&gt;0,"Demanda: aumento",IF($T188&lt;0,"Demanda: redução","")),IF($U188&gt;0,"Concorrência: aumento",IF($U188&lt;0,"Concorrência: redução","")),IF($V188&gt;0,"Estoque: aumento",IF($V188&lt;0,"Estoque: redução","")),IF(ABS($W188-$X188)&gt;0.0000001,"Limite da rodada aplicado",""),IF($AB188="Piso","Piso vigente aplicado",IF($AB188="Teto","Teto aplicado","")),IF(AND($T188=0,$U188=0,$V188=0),"Sem gatilho de reajuste",""))))</f>
        <v/>
      </c>
      <c r="AD188" s="21">
        <f>IF(OR($A188="",$AG188&lt;&gt;"Pronta"),"",_xlfn.TEXTJOIN(" | ",TRUE,IF($E188&lt;$Q188,"Preço atual abaixo do piso",""),IF($E188&gt;$R188,"Preço atual acima do teto",""),IF(AND($N188&gt;0,$E188&gt;0,1-$N188/$E188&lt;$O188),"Margem estimada do preço atual abaixo do mínimo",""),IF($G188="","Preço concorrente não informado",""),IF($AB188="Piso","Recomendação travada no piso",""),IF($AB188="Teto","Recomendação travada no teto","")))</f>
        <v/>
      </c>
      <c r="AE188" s="19">
        <f>IF($AG188&lt;&gt;"Pronta","",IF($I188="Aprovar recomendação",$Z188,IF($I188="Manter preço atual",$E188,IF($I188="Definir manualmente",$J188,""))))</f>
        <v/>
      </c>
      <c r="AF188" s="21">
        <f>IF($A188="","",IF($AG188&lt;&gt;"Pronta","Aguardando correção",IF(OR($I188="",$I188="Pendente"),"Decisão pendente",IF(AND($I188="Definir manualmente",OR($J188="",$J188&lt;=0)),"Informe o preço manual",IF(OR($AE188&lt;$Q188,$AE188&gt;$R188),"Preço final fora do piso/teto","OK")))))</f>
        <v/>
      </c>
      <c r="AG188" s="26">
        <f>IF(COUNTA($A188:$K188)=0,"",IF(OR($A188="",$B188="",$C188="",$D188="",$E188="",$F188="",$H188=""),"Incompleta",IF(OR(COUNTIF($A$5:$A$204,$A188)&gt;1,NOT(ISNUMBER($B188)),COUNTIF(Produtos!$A$4:$A$103,$C188)&lt;&gt;1,IFERROR(INDEX(Produtos!$K$4:$K$103,MATCH($C188,Produtos!$A$4:$A$103,0))&lt;&gt;"Ativo",TRUE),IFERROR(INDEX(Produtos!$L$4:$L$103,MATCH($C188,Produtos!$A$4:$A$103,0))&lt;&gt;"OK",TRUE),COUNTIF(Regras!$A$4:$A$103,$D188)&lt;&gt;1,IFERROR(INDEX(Regras!$O$4:$O$103,MATCH($D188,Regras!$A$4:$A$103,0))&lt;&gt;"Sim",TRUE),IFERROR(INDEX(Regras!$P$4:$P$103,MATCH($D188,Regras!$A$4:$A$103,0))&lt;&gt;"OK",TRUE),NOT(ISNUMBER($E188)),$E188&lt;=0,NOT(ISNUMBER($F188)),$F188&lt;0,$F188&gt;5,NOT(ISNUMBER($H188)),$H188&lt;0,$H188&lt;&gt;INT($H188),AND($G188&lt;&gt;"",OR(NOT(ISNUMBER($G188)),$G188&lt;=0))),"Revisar","Pronta")))</f>
        <v/>
      </c>
    </row>
    <row r="189">
      <c r="A189" s="16" t="n"/>
      <c r="B189" s="24" t="n"/>
      <c r="C189" s="16" t="n"/>
      <c r="D189" s="16" t="n"/>
      <c r="E189" s="17" t="n"/>
      <c r="F189" s="18" t="n"/>
      <c r="G189" s="17" t="n"/>
      <c r="H189" s="20" t="n"/>
      <c r="I189" s="16" t="n"/>
      <c r="J189" s="17" t="n"/>
      <c r="K189" s="25" t="n"/>
      <c r="L189" s="26">
        <f>IF($C189="","",IFERROR(INDEX(Produtos!$B$4:$B$103,MATCH($C189,Produtos!$A$4:$A$103,0)),""))</f>
        <v/>
      </c>
      <c r="M189" s="26">
        <f>IF($C189="","",IFERROR(INDEX(Produtos!$C$4:$C$103,MATCH($C189,Produtos!$A$4:$A$103,0)),""))</f>
        <v/>
      </c>
      <c r="N189" s="19">
        <f>IF($C189="","",IFERROR(INDEX(Produtos!$D$4:$D$103,MATCH($C189,Produtos!$A$4:$A$103,0)),""))</f>
        <v/>
      </c>
      <c r="O189" s="27">
        <f>IF($C189="","",IFERROR(INDEX(Produtos!$E$4:$E$103,MATCH($C189,Produtos!$A$4:$A$103,0)),""))</f>
        <v/>
      </c>
      <c r="P189" s="19">
        <f>IF($C189="","",IFERROR(INDEX(Produtos!$G$4:$G$103,MATCH($C189,Produtos!$A$4:$A$103,0)),""))</f>
        <v/>
      </c>
      <c r="Q189" s="19">
        <f>IF($C189="","",IFERROR(INDEX(Produtos!$H$4:$H$103,MATCH($C189,Produtos!$A$4:$A$103,0)),""))</f>
        <v/>
      </c>
      <c r="R189" s="19">
        <f>IF($C189="","",IFERROR(INDEX(Produtos!$I$4:$I$103,MATCH($C189,Produtos!$A$4:$A$103,0)),""))</f>
        <v/>
      </c>
      <c r="S189" s="28">
        <f>IF($C189="","",IFERROR(INDEX(Produtos!$J$4:$J$103,MATCH($C189,Produtos!$A$4:$A$103,0)),""))</f>
        <v/>
      </c>
      <c r="T189" s="27">
        <f>IF($AG189&lt;&gt;"Pronta","",IFERROR(IF($F189&lt;=INDEX(Regras!$C$4:$C$103,MATCH($D189,Regras!$A$4:$A$103,0)),INDEX(Regras!$E$4:$E$103,MATCH($D189,Regras!$A$4:$A$103,0)),IF($F189&gt;=INDEX(Regras!$D$4:$D$103,MATCH($D189,Regras!$A$4:$A$103,0)),INDEX(Regras!$F$4:$F$103,MATCH($D189,Regras!$A$4:$A$103,0)),0)),""))</f>
        <v/>
      </c>
      <c r="U189" s="27">
        <f>IF($AG189&lt;&gt;"Pronta","",IFERROR(IF($G189="",0,IF($G189&lt;=$E189*(1-INDEX(Regras!$G$4:$G$103,MATCH($D189,Regras!$A$4:$A$103,0))),INDEX(Regras!$H$4:$H$103,MATCH($D189,Regras!$A$4:$A$103,0)),IF($G189&gt;=$E189*(1+INDEX(Regras!$G$4:$G$103,MATCH($D189,Regras!$A$4:$A$103,0))),INDEX(Regras!$I$4:$I$103,MATCH($D189,Regras!$A$4:$A$103,0)),0))),""))</f>
        <v/>
      </c>
      <c r="V189" s="27">
        <f>IF($AG189&lt;&gt;"Pronta","",IFERROR(IF($H189/$S189&lt;=INDEX(Regras!$J$4:$J$103,MATCH($D189,Regras!$A$4:$A$103,0)),INDEX(Regras!$L$4:$L$103,MATCH($D189,Regras!$A$4:$A$103,0)),IF($H189/$S189&gt;=INDEX(Regras!$K$4:$K$103,MATCH($D189,Regras!$A$4:$A$103,0)),INDEX(Regras!$M$4:$M$103,MATCH($D189,Regras!$A$4:$A$103,0)),0)),""))</f>
        <v/>
      </c>
      <c r="W189" s="27">
        <f>IF($AG189&lt;&gt;"Pronta","",SUM($T189:$V189))</f>
        <v/>
      </c>
      <c r="X189" s="27">
        <f>IF($AG189&lt;&gt;"Pronta","",IFERROR(MAX(-INDEX(Regras!$N$4:$N$103,MATCH($D189,Regras!$A$4:$A$103,0)),MIN(INDEX(Regras!$N$4:$N$103,MATCH($D189,Regras!$A$4:$A$103,0)),$W189)),""))</f>
        <v/>
      </c>
      <c r="Y189" s="19">
        <f>IF($AG189&lt;&gt;"Pronta","",IFERROR(ROUND($E189*(1+$X189),2),""))</f>
        <v/>
      </c>
      <c r="Z189" s="29">
        <f>IF(OR($AG189&lt;&gt;"Pronta",$Q189="",$R189=""),"",IFERROR(ROUND(MIN($R189,MAX($Q189,$Y189)),2),""))</f>
        <v/>
      </c>
      <c r="AA189" s="27">
        <f>IF(OR($E189="",$Z189=""),"",IFERROR($Z189/$E189-1,""))</f>
        <v/>
      </c>
      <c r="AB189" s="26">
        <f>IF($Z189="","",IF($Y189&lt;$Q189,"Piso",IF($Y189&gt;$R189,"Teto","Nenhuma")))</f>
        <v/>
      </c>
      <c r="AC189" s="21">
        <f>IF($A189="","",IF($AG189&lt;&gt;"Pronta","Aguardando dados válidos",_xlfn.TEXTJOIN(" | ",TRUE,IF($T189&gt;0,"Demanda: aumento",IF($T189&lt;0,"Demanda: redução","")),IF($U189&gt;0,"Concorrência: aumento",IF($U189&lt;0,"Concorrência: redução","")),IF($V189&gt;0,"Estoque: aumento",IF($V189&lt;0,"Estoque: redução","")),IF(ABS($W189-$X189)&gt;0.0000001,"Limite da rodada aplicado",""),IF($AB189="Piso","Piso vigente aplicado",IF($AB189="Teto","Teto aplicado","")),IF(AND($T189=0,$U189=0,$V189=0),"Sem gatilho de reajuste",""))))</f>
        <v/>
      </c>
      <c r="AD189" s="21">
        <f>IF(OR($A189="",$AG189&lt;&gt;"Pronta"),"",_xlfn.TEXTJOIN(" | ",TRUE,IF($E189&lt;$Q189,"Preço atual abaixo do piso",""),IF($E189&gt;$R189,"Preço atual acima do teto",""),IF(AND($N189&gt;0,$E189&gt;0,1-$N189/$E189&lt;$O189),"Margem estimada do preço atual abaixo do mínimo",""),IF($G189="","Preço concorrente não informado",""),IF($AB189="Piso","Recomendação travada no piso",""),IF($AB189="Teto","Recomendação travada no teto","")))</f>
        <v/>
      </c>
      <c r="AE189" s="19">
        <f>IF($AG189&lt;&gt;"Pronta","",IF($I189="Aprovar recomendação",$Z189,IF($I189="Manter preço atual",$E189,IF($I189="Definir manualmente",$J189,""))))</f>
        <v/>
      </c>
      <c r="AF189" s="21">
        <f>IF($A189="","",IF($AG189&lt;&gt;"Pronta","Aguardando correção",IF(OR($I189="",$I189="Pendente"),"Decisão pendente",IF(AND($I189="Definir manualmente",OR($J189="",$J189&lt;=0)),"Informe o preço manual",IF(OR($AE189&lt;$Q189,$AE189&gt;$R189),"Preço final fora do piso/teto","OK")))))</f>
        <v/>
      </c>
      <c r="AG189" s="26">
        <f>IF(COUNTA($A189:$K189)=0,"",IF(OR($A189="",$B189="",$C189="",$D189="",$E189="",$F189="",$H189=""),"Incompleta",IF(OR(COUNTIF($A$5:$A$204,$A189)&gt;1,NOT(ISNUMBER($B189)),COUNTIF(Produtos!$A$4:$A$103,$C189)&lt;&gt;1,IFERROR(INDEX(Produtos!$K$4:$K$103,MATCH($C189,Produtos!$A$4:$A$103,0))&lt;&gt;"Ativo",TRUE),IFERROR(INDEX(Produtos!$L$4:$L$103,MATCH($C189,Produtos!$A$4:$A$103,0))&lt;&gt;"OK",TRUE),COUNTIF(Regras!$A$4:$A$103,$D189)&lt;&gt;1,IFERROR(INDEX(Regras!$O$4:$O$103,MATCH($D189,Regras!$A$4:$A$103,0))&lt;&gt;"Sim",TRUE),IFERROR(INDEX(Regras!$P$4:$P$103,MATCH($D189,Regras!$A$4:$A$103,0))&lt;&gt;"OK",TRUE),NOT(ISNUMBER($E189)),$E189&lt;=0,NOT(ISNUMBER($F189)),$F189&lt;0,$F189&gt;5,NOT(ISNUMBER($H189)),$H189&lt;0,$H189&lt;&gt;INT($H189),AND($G189&lt;&gt;"",OR(NOT(ISNUMBER($G189)),$G189&lt;=0))),"Revisar","Pronta")))</f>
        <v/>
      </c>
    </row>
    <row r="190">
      <c r="A190" s="16" t="n"/>
      <c r="B190" s="24" t="n"/>
      <c r="C190" s="16" t="n"/>
      <c r="D190" s="16" t="n"/>
      <c r="E190" s="17" t="n"/>
      <c r="F190" s="18" t="n"/>
      <c r="G190" s="17" t="n"/>
      <c r="H190" s="20" t="n"/>
      <c r="I190" s="16" t="n"/>
      <c r="J190" s="17" t="n"/>
      <c r="K190" s="25" t="n"/>
      <c r="L190" s="26">
        <f>IF($C190="","",IFERROR(INDEX(Produtos!$B$4:$B$103,MATCH($C190,Produtos!$A$4:$A$103,0)),""))</f>
        <v/>
      </c>
      <c r="M190" s="26">
        <f>IF($C190="","",IFERROR(INDEX(Produtos!$C$4:$C$103,MATCH($C190,Produtos!$A$4:$A$103,0)),""))</f>
        <v/>
      </c>
      <c r="N190" s="19">
        <f>IF($C190="","",IFERROR(INDEX(Produtos!$D$4:$D$103,MATCH($C190,Produtos!$A$4:$A$103,0)),""))</f>
        <v/>
      </c>
      <c r="O190" s="27">
        <f>IF($C190="","",IFERROR(INDEX(Produtos!$E$4:$E$103,MATCH($C190,Produtos!$A$4:$A$103,0)),""))</f>
        <v/>
      </c>
      <c r="P190" s="19">
        <f>IF($C190="","",IFERROR(INDEX(Produtos!$G$4:$G$103,MATCH($C190,Produtos!$A$4:$A$103,0)),""))</f>
        <v/>
      </c>
      <c r="Q190" s="19">
        <f>IF($C190="","",IFERROR(INDEX(Produtos!$H$4:$H$103,MATCH($C190,Produtos!$A$4:$A$103,0)),""))</f>
        <v/>
      </c>
      <c r="R190" s="19">
        <f>IF($C190="","",IFERROR(INDEX(Produtos!$I$4:$I$103,MATCH($C190,Produtos!$A$4:$A$103,0)),""))</f>
        <v/>
      </c>
      <c r="S190" s="28">
        <f>IF($C190="","",IFERROR(INDEX(Produtos!$J$4:$J$103,MATCH($C190,Produtos!$A$4:$A$103,0)),""))</f>
        <v/>
      </c>
      <c r="T190" s="27">
        <f>IF($AG190&lt;&gt;"Pronta","",IFERROR(IF($F190&lt;=INDEX(Regras!$C$4:$C$103,MATCH($D190,Regras!$A$4:$A$103,0)),INDEX(Regras!$E$4:$E$103,MATCH($D190,Regras!$A$4:$A$103,0)),IF($F190&gt;=INDEX(Regras!$D$4:$D$103,MATCH($D190,Regras!$A$4:$A$103,0)),INDEX(Regras!$F$4:$F$103,MATCH($D190,Regras!$A$4:$A$103,0)),0)),""))</f>
        <v/>
      </c>
      <c r="U190" s="27">
        <f>IF($AG190&lt;&gt;"Pronta","",IFERROR(IF($G190="",0,IF($G190&lt;=$E190*(1-INDEX(Regras!$G$4:$G$103,MATCH($D190,Regras!$A$4:$A$103,0))),INDEX(Regras!$H$4:$H$103,MATCH($D190,Regras!$A$4:$A$103,0)),IF($G190&gt;=$E190*(1+INDEX(Regras!$G$4:$G$103,MATCH($D190,Regras!$A$4:$A$103,0))),INDEX(Regras!$I$4:$I$103,MATCH($D190,Regras!$A$4:$A$103,0)),0))),""))</f>
        <v/>
      </c>
      <c r="V190" s="27">
        <f>IF($AG190&lt;&gt;"Pronta","",IFERROR(IF($H190/$S190&lt;=INDEX(Regras!$J$4:$J$103,MATCH($D190,Regras!$A$4:$A$103,0)),INDEX(Regras!$L$4:$L$103,MATCH($D190,Regras!$A$4:$A$103,0)),IF($H190/$S190&gt;=INDEX(Regras!$K$4:$K$103,MATCH($D190,Regras!$A$4:$A$103,0)),INDEX(Regras!$M$4:$M$103,MATCH($D190,Regras!$A$4:$A$103,0)),0)),""))</f>
        <v/>
      </c>
      <c r="W190" s="27">
        <f>IF($AG190&lt;&gt;"Pronta","",SUM($T190:$V190))</f>
        <v/>
      </c>
      <c r="X190" s="27">
        <f>IF($AG190&lt;&gt;"Pronta","",IFERROR(MAX(-INDEX(Regras!$N$4:$N$103,MATCH($D190,Regras!$A$4:$A$103,0)),MIN(INDEX(Regras!$N$4:$N$103,MATCH($D190,Regras!$A$4:$A$103,0)),$W190)),""))</f>
        <v/>
      </c>
      <c r="Y190" s="19">
        <f>IF($AG190&lt;&gt;"Pronta","",IFERROR(ROUND($E190*(1+$X190),2),""))</f>
        <v/>
      </c>
      <c r="Z190" s="29">
        <f>IF(OR($AG190&lt;&gt;"Pronta",$Q190="",$R190=""),"",IFERROR(ROUND(MIN($R190,MAX($Q190,$Y190)),2),""))</f>
        <v/>
      </c>
      <c r="AA190" s="27">
        <f>IF(OR($E190="",$Z190=""),"",IFERROR($Z190/$E190-1,""))</f>
        <v/>
      </c>
      <c r="AB190" s="26">
        <f>IF($Z190="","",IF($Y190&lt;$Q190,"Piso",IF($Y190&gt;$R190,"Teto","Nenhuma")))</f>
        <v/>
      </c>
      <c r="AC190" s="21">
        <f>IF($A190="","",IF($AG190&lt;&gt;"Pronta","Aguardando dados válidos",_xlfn.TEXTJOIN(" | ",TRUE,IF($T190&gt;0,"Demanda: aumento",IF($T190&lt;0,"Demanda: redução","")),IF($U190&gt;0,"Concorrência: aumento",IF($U190&lt;0,"Concorrência: redução","")),IF($V190&gt;0,"Estoque: aumento",IF($V190&lt;0,"Estoque: redução","")),IF(ABS($W190-$X190)&gt;0.0000001,"Limite da rodada aplicado",""),IF($AB190="Piso","Piso vigente aplicado",IF($AB190="Teto","Teto aplicado","")),IF(AND($T190=0,$U190=0,$V190=0),"Sem gatilho de reajuste",""))))</f>
        <v/>
      </c>
      <c r="AD190" s="21">
        <f>IF(OR($A190="",$AG190&lt;&gt;"Pronta"),"",_xlfn.TEXTJOIN(" | ",TRUE,IF($E190&lt;$Q190,"Preço atual abaixo do piso",""),IF($E190&gt;$R190,"Preço atual acima do teto",""),IF(AND($N190&gt;0,$E190&gt;0,1-$N190/$E190&lt;$O190),"Margem estimada do preço atual abaixo do mínimo",""),IF($G190="","Preço concorrente não informado",""),IF($AB190="Piso","Recomendação travada no piso",""),IF($AB190="Teto","Recomendação travada no teto","")))</f>
        <v/>
      </c>
      <c r="AE190" s="19">
        <f>IF($AG190&lt;&gt;"Pronta","",IF($I190="Aprovar recomendação",$Z190,IF($I190="Manter preço atual",$E190,IF($I190="Definir manualmente",$J190,""))))</f>
        <v/>
      </c>
      <c r="AF190" s="21">
        <f>IF($A190="","",IF($AG190&lt;&gt;"Pronta","Aguardando correção",IF(OR($I190="",$I190="Pendente"),"Decisão pendente",IF(AND($I190="Definir manualmente",OR($J190="",$J190&lt;=0)),"Informe o preço manual",IF(OR($AE190&lt;$Q190,$AE190&gt;$R190),"Preço final fora do piso/teto","OK")))))</f>
        <v/>
      </c>
      <c r="AG190" s="26">
        <f>IF(COUNTA($A190:$K190)=0,"",IF(OR($A190="",$B190="",$C190="",$D190="",$E190="",$F190="",$H190=""),"Incompleta",IF(OR(COUNTIF($A$5:$A$204,$A190)&gt;1,NOT(ISNUMBER($B190)),COUNTIF(Produtos!$A$4:$A$103,$C190)&lt;&gt;1,IFERROR(INDEX(Produtos!$K$4:$K$103,MATCH($C190,Produtos!$A$4:$A$103,0))&lt;&gt;"Ativo",TRUE),IFERROR(INDEX(Produtos!$L$4:$L$103,MATCH($C190,Produtos!$A$4:$A$103,0))&lt;&gt;"OK",TRUE),COUNTIF(Regras!$A$4:$A$103,$D190)&lt;&gt;1,IFERROR(INDEX(Regras!$O$4:$O$103,MATCH($D190,Regras!$A$4:$A$103,0))&lt;&gt;"Sim",TRUE),IFERROR(INDEX(Regras!$P$4:$P$103,MATCH($D190,Regras!$A$4:$A$103,0))&lt;&gt;"OK",TRUE),NOT(ISNUMBER($E190)),$E190&lt;=0,NOT(ISNUMBER($F190)),$F190&lt;0,$F190&gt;5,NOT(ISNUMBER($H190)),$H190&lt;0,$H190&lt;&gt;INT($H190),AND($G190&lt;&gt;"",OR(NOT(ISNUMBER($G190)),$G190&lt;=0))),"Revisar","Pronta")))</f>
        <v/>
      </c>
    </row>
    <row r="191">
      <c r="A191" s="16" t="n"/>
      <c r="B191" s="24" t="n"/>
      <c r="C191" s="16" t="n"/>
      <c r="D191" s="16" t="n"/>
      <c r="E191" s="17" t="n"/>
      <c r="F191" s="18" t="n"/>
      <c r="G191" s="17" t="n"/>
      <c r="H191" s="20" t="n"/>
      <c r="I191" s="16" t="n"/>
      <c r="J191" s="17" t="n"/>
      <c r="K191" s="25" t="n"/>
      <c r="L191" s="26">
        <f>IF($C191="","",IFERROR(INDEX(Produtos!$B$4:$B$103,MATCH($C191,Produtos!$A$4:$A$103,0)),""))</f>
        <v/>
      </c>
      <c r="M191" s="26">
        <f>IF($C191="","",IFERROR(INDEX(Produtos!$C$4:$C$103,MATCH($C191,Produtos!$A$4:$A$103,0)),""))</f>
        <v/>
      </c>
      <c r="N191" s="19">
        <f>IF($C191="","",IFERROR(INDEX(Produtos!$D$4:$D$103,MATCH($C191,Produtos!$A$4:$A$103,0)),""))</f>
        <v/>
      </c>
      <c r="O191" s="27">
        <f>IF($C191="","",IFERROR(INDEX(Produtos!$E$4:$E$103,MATCH($C191,Produtos!$A$4:$A$103,0)),""))</f>
        <v/>
      </c>
      <c r="P191" s="19">
        <f>IF($C191="","",IFERROR(INDEX(Produtos!$G$4:$G$103,MATCH($C191,Produtos!$A$4:$A$103,0)),""))</f>
        <v/>
      </c>
      <c r="Q191" s="19">
        <f>IF($C191="","",IFERROR(INDEX(Produtos!$H$4:$H$103,MATCH($C191,Produtos!$A$4:$A$103,0)),""))</f>
        <v/>
      </c>
      <c r="R191" s="19">
        <f>IF($C191="","",IFERROR(INDEX(Produtos!$I$4:$I$103,MATCH($C191,Produtos!$A$4:$A$103,0)),""))</f>
        <v/>
      </c>
      <c r="S191" s="28">
        <f>IF($C191="","",IFERROR(INDEX(Produtos!$J$4:$J$103,MATCH($C191,Produtos!$A$4:$A$103,0)),""))</f>
        <v/>
      </c>
      <c r="T191" s="27">
        <f>IF($AG191&lt;&gt;"Pronta","",IFERROR(IF($F191&lt;=INDEX(Regras!$C$4:$C$103,MATCH($D191,Regras!$A$4:$A$103,0)),INDEX(Regras!$E$4:$E$103,MATCH($D191,Regras!$A$4:$A$103,0)),IF($F191&gt;=INDEX(Regras!$D$4:$D$103,MATCH($D191,Regras!$A$4:$A$103,0)),INDEX(Regras!$F$4:$F$103,MATCH($D191,Regras!$A$4:$A$103,0)),0)),""))</f>
        <v/>
      </c>
      <c r="U191" s="27">
        <f>IF($AG191&lt;&gt;"Pronta","",IFERROR(IF($G191="",0,IF($G191&lt;=$E191*(1-INDEX(Regras!$G$4:$G$103,MATCH($D191,Regras!$A$4:$A$103,0))),INDEX(Regras!$H$4:$H$103,MATCH($D191,Regras!$A$4:$A$103,0)),IF($G191&gt;=$E191*(1+INDEX(Regras!$G$4:$G$103,MATCH($D191,Regras!$A$4:$A$103,0))),INDEX(Regras!$I$4:$I$103,MATCH($D191,Regras!$A$4:$A$103,0)),0))),""))</f>
        <v/>
      </c>
      <c r="V191" s="27">
        <f>IF($AG191&lt;&gt;"Pronta","",IFERROR(IF($H191/$S191&lt;=INDEX(Regras!$J$4:$J$103,MATCH($D191,Regras!$A$4:$A$103,0)),INDEX(Regras!$L$4:$L$103,MATCH($D191,Regras!$A$4:$A$103,0)),IF($H191/$S191&gt;=INDEX(Regras!$K$4:$K$103,MATCH($D191,Regras!$A$4:$A$103,0)),INDEX(Regras!$M$4:$M$103,MATCH($D191,Regras!$A$4:$A$103,0)),0)),""))</f>
        <v/>
      </c>
      <c r="W191" s="27">
        <f>IF($AG191&lt;&gt;"Pronta","",SUM($T191:$V191))</f>
        <v/>
      </c>
      <c r="X191" s="27">
        <f>IF($AG191&lt;&gt;"Pronta","",IFERROR(MAX(-INDEX(Regras!$N$4:$N$103,MATCH($D191,Regras!$A$4:$A$103,0)),MIN(INDEX(Regras!$N$4:$N$103,MATCH($D191,Regras!$A$4:$A$103,0)),$W191)),""))</f>
        <v/>
      </c>
      <c r="Y191" s="19">
        <f>IF($AG191&lt;&gt;"Pronta","",IFERROR(ROUND($E191*(1+$X191),2),""))</f>
        <v/>
      </c>
      <c r="Z191" s="29">
        <f>IF(OR($AG191&lt;&gt;"Pronta",$Q191="",$R191=""),"",IFERROR(ROUND(MIN($R191,MAX($Q191,$Y191)),2),""))</f>
        <v/>
      </c>
      <c r="AA191" s="27">
        <f>IF(OR($E191="",$Z191=""),"",IFERROR($Z191/$E191-1,""))</f>
        <v/>
      </c>
      <c r="AB191" s="26">
        <f>IF($Z191="","",IF($Y191&lt;$Q191,"Piso",IF($Y191&gt;$R191,"Teto","Nenhuma")))</f>
        <v/>
      </c>
      <c r="AC191" s="21">
        <f>IF($A191="","",IF($AG191&lt;&gt;"Pronta","Aguardando dados válidos",_xlfn.TEXTJOIN(" | ",TRUE,IF($T191&gt;0,"Demanda: aumento",IF($T191&lt;0,"Demanda: redução","")),IF($U191&gt;0,"Concorrência: aumento",IF($U191&lt;0,"Concorrência: redução","")),IF($V191&gt;0,"Estoque: aumento",IF($V191&lt;0,"Estoque: redução","")),IF(ABS($W191-$X191)&gt;0.0000001,"Limite da rodada aplicado",""),IF($AB191="Piso","Piso vigente aplicado",IF($AB191="Teto","Teto aplicado","")),IF(AND($T191=0,$U191=0,$V191=0),"Sem gatilho de reajuste",""))))</f>
        <v/>
      </c>
      <c r="AD191" s="21">
        <f>IF(OR($A191="",$AG191&lt;&gt;"Pronta"),"",_xlfn.TEXTJOIN(" | ",TRUE,IF($E191&lt;$Q191,"Preço atual abaixo do piso",""),IF($E191&gt;$R191,"Preço atual acima do teto",""),IF(AND($N191&gt;0,$E191&gt;0,1-$N191/$E191&lt;$O191),"Margem estimada do preço atual abaixo do mínimo",""),IF($G191="","Preço concorrente não informado",""),IF($AB191="Piso","Recomendação travada no piso",""),IF($AB191="Teto","Recomendação travada no teto","")))</f>
        <v/>
      </c>
      <c r="AE191" s="19">
        <f>IF($AG191&lt;&gt;"Pronta","",IF($I191="Aprovar recomendação",$Z191,IF($I191="Manter preço atual",$E191,IF($I191="Definir manualmente",$J191,""))))</f>
        <v/>
      </c>
      <c r="AF191" s="21">
        <f>IF($A191="","",IF($AG191&lt;&gt;"Pronta","Aguardando correção",IF(OR($I191="",$I191="Pendente"),"Decisão pendente",IF(AND($I191="Definir manualmente",OR($J191="",$J191&lt;=0)),"Informe o preço manual",IF(OR($AE191&lt;$Q191,$AE191&gt;$R191),"Preço final fora do piso/teto","OK")))))</f>
        <v/>
      </c>
      <c r="AG191" s="26">
        <f>IF(COUNTA($A191:$K191)=0,"",IF(OR($A191="",$B191="",$C191="",$D191="",$E191="",$F191="",$H191=""),"Incompleta",IF(OR(COUNTIF($A$5:$A$204,$A191)&gt;1,NOT(ISNUMBER($B191)),COUNTIF(Produtos!$A$4:$A$103,$C191)&lt;&gt;1,IFERROR(INDEX(Produtos!$K$4:$K$103,MATCH($C191,Produtos!$A$4:$A$103,0))&lt;&gt;"Ativo",TRUE),IFERROR(INDEX(Produtos!$L$4:$L$103,MATCH($C191,Produtos!$A$4:$A$103,0))&lt;&gt;"OK",TRUE),COUNTIF(Regras!$A$4:$A$103,$D191)&lt;&gt;1,IFERROR(INDEX(Regras!$O$4:$O$103,MATCH($D191,Regras!$A$4:$A$103,0))&lt;&gt;"Sim",TRUE),IFERROR(INDEX(Regras!$P$4:$P$103,MATCH($D191,Regras!$A$4:$A$103,0))&lt;&gt;"OK",TRUE),NOT(ISNUMBER($E191)),$E191&lt;=0,NOT(ISNUMBER($F191)),$F191&lt;0,$F191&gt;5,NOT(ISNUMBER($H191)),$H191&lt;0,$H191&lt;&gt;INT($H191),AND($G191&lt;&gt;"",OR(NOT(ISNUMBER($G191)),$G191&lt;=0))),"Revisar","Pronta")))</f>
        <v/>
      </c>
    </row>
    <row r="192">
      <c r="A192" s="16" t="n"/>
      <c r="B192" s="24" t="n"/>
      <c r="C192" s="16" t="n"/>
      <c r="D192" s="16" t="n"/>
      <c r="E192" s="17" t="n"/>
      <c r="F192" s="18" t="n"/>
      <c r="G192" s="17" t="n"/>
      <c r="H192" s="20" t="n"/>
      <c r="I192" s="16" t="n"/>
      <c r="J192" s="17" t="n"/>
      <c r="K192" s="25" t="n"/>
      <c r="L192" s="26">
        <f>IF($C192="","",IFERROR(INDEX(Produtos!$B$4:$B$103,MATCH($C192,Produtos!$A$4:$A$103,0)),""))</f>
        <v/>
      </c>
      <c r="M192" s="26">
        <f>IF($C192="","",IFERROR(INDEX(Produtos!$C$4:$C$103,MATCH($C192,Produtos!$A$4:$A$103,0)),""))</f>
        <v/>
      </c>
      <c r="N192" s="19">
        <f>IF($C192="","",IFERROR(INDEX(Produtos!$D$4:$D$103,MATCH($C192,Produtos!$A$4:$A$103,0)),""))</f>
        <v/>
      </c>
      <c r="O192" s="27">
        <f>IF($C192="","",IFERROR(INDEX(Produtos!$E$4:$E$103,MATCH($C192,Produtos!$A$4:$A$103,0)),""))</f>
        <v/>
      </c>
      <c r="P192" s="19">
        <f>IF($C192="","",IFERROR(INDEX(Produtos!$G$4:$G$103,MATCH($C192,Produtos!$A$4:$A$103,0)),""))</f>
        <v/>
      </c>
      <c r="Q192" s="19">
        <f>IF($C192="","",IFERROR(INDEX(Produtos!$H$4:$H$103,MATCH($C192,Produtos!$A$4:$A$103,0)),""))</f>
        <v/>
      </c>
      <c r="R192" s="19">
        <f>IF($C192="","",IFERROR(INDEX(Produtos!$I$4:$I$103,MATCH($C192,Produtos!$A$4:$A$103,0)),""))</f>
        <v/>
      </c>
      <c r="S192" s="28">
        <f>IF($C192="","",IFERROR(INDEX(Produtos!$J$4:$J$103,MATCH($C192,Produtos!$A$4:$A$103,0)),""))</f>
        <v/>
      </c>
      <c r="T192" s="27">
        <f>IF($AG192&lt;&gt;"Pronta","",IFERROR(IF($F192&lt;=INDEX(Regras!$C$4:$C$103,MATCH($D192,Regras!$A$4:$A$103,0)),INDEX(Regras!$E$4:$E$103,MATCH($D192,Regras!$A$4:$A$103,0)),IF($F192&gt;=INDEX(Regras!$D$4:$D$103,MATCH($D192,Regras!$A$4:$A$103,0)),INDEX(Regras!$F$4:$F$103,MATCH($D192,Regras!$A$4:$A$103,0)),0)),""))</f>
        <v/>
      </c>
      <c r="U192" s="27">
        <f>IF($AG192&lt;&gt;"Pronta","",IFERROR(IF($G192="",0,IF($G192&lt;=$E192*(1-INDEX(Regras!$G$4:$G$103,MATCH($D192,Regras!$A$4:$A$103,0))),INDEX(Regras!$H$4:$H$103,MATCH($D192,Regras!$A$4:$A$103,0)),IF($G192&gt;=$E192*(1+INDEX(Regras!$G$4:$G$103,MATCH($D192,Regras!$A$4:$A$103,0))),INDEX(Regras!$I$4:$I$103,MATCH($D192,Regras!$A$4:$A$103,0)),0))),""))</f>
        <v/>
      </c>
      <c r="V192" s="27">
        <f>IF($AG192&lt;&gt;"Pronta","",IFERROR(IF($H192/$S192&lt;=INDEX(Regras!$J$4:$J$103,MATCH($D192,Regras!$A$4:$A$103,0)),INDEX(Regras!$L$4:$L$103,MATCH($D192,Regras!$A$4:$A$103,0)),IF($H192/$S192&gt;=INDEX(Regras!$K$4:$K$103,MATCH($D192,Regras!$A$4:$A$103,0)),INDEX(Regras!$M$4:$M$103,MATCH($D192,Regras!$A$4:$A$103,0)),0)),""))</f>
        <v/>
      </c>
      <c r="W192" s="27">
        <f>IF($AG192&lt;&gt;"Pronta","",SUM($T192:$V192))</f>
        <v/>
      </c>
      <c r="X192" s="27">
        <f>IF($AG192&lt;&gt;"Pronta","",IFERROR(MAX(-INDEX(Regras!$N$4:$N$103,MATCH($D192,Regras!$A$4:$A$103,0)),MIN(INDEX(Regras!$N$4:$N$103,MATCH($D192,Regras!$A$4:$A$103,0)),$W192)),""))</f>
        <v/>
      </c>
      <c r="Y192" s="19">
        <f>IF($AG192&lt;&gt;"Pronta","",IFERROR(ROUND($E192*(1+$X192),2),""))</f>
        <v/>
      </c>
      <c r="Z192" s="29">
        <f>IF(OR($AG192&lt;&gt;"Pronta",$Q192="",$R192=""),"",IFERROR(ROUND(MIN($R192,MAX($Q192,$Y192)),2),""))</f>
        <v/>
      </c>
      <c r="AA192" s="27">
        <f>IF(OR($E192="",$Z192=""),"",IFERROR($Z192/$E192-1,""))</f>
        <v/>
      </c>
      <c r="AB192" s="26">
        <f>IF($Z192="","",IF($Y192&lt;$Q192,"Piso",IF($Y192&gt;$R192,"Teto","Nenhuma")))</f>
        <v/>
      </c>
      <c r="AC192" s="21">
        <f>IF($A192="","",IF($AG192&lt;&gt;"Pronta","Aguardando dados válidos",_xlfn.TEXTJOIN(" | ",TRUE,IF($T192&gt;0,"Demanda: aumento",IF($T192&lt;0,"Demanda: redução","")),IF($U192&gt;0,"Concorrência: aumento",IF($U192&lt;0,"Concorrência: redução","")),IF($V192&gt;0,"Estoque: aumento",IF($V192&lt;0,"Estoque: redução","")),IF(ABS($W192-$X192)&gt;0.0000001,"Limite da rodada aplicado",""),IF($AB192="Piso","Piso vigente aplicado",IF($AB192="Teto","Teto aplicado","")),IF(AND($T192=0,$U192=0,$V192=0),"Sem gatilho de reajuste",""))))</f>
        <v/>
      </c>
      <c r="AD192" s="21">
        <f>IF(OR($A192="",$AG192&lt;&gt;"Pronta"),"",_xlfn.TEXTJOIN(" | ",TRUE,IF($E192&lt;$Q192,"Preço atual abaixo do piso",""),IF($E192&gt;$R192,"Preço atual acima do teto",""),IF(AND($N192&gt;0,$E192&gt;0,1-$N192/$E192&lt;$O192),"Margem estimada do preço atual abaixo do mínimo",""),IF($G192="","Preço concorrente não informado",""),IF($AB192="Piso","Recomendação travada no piso",""),IF($AB192="Teto","Recomendação travada no teto","")))</f>
        <v/>
      </c>
      <c r="AE192" s="19">
        <f>IF($AG192&lt;&gt;"Pronta","",IF($I192="Aprovar recomendação",$Z192,IF($I192="Manter preço atual",$E192,IF($I192="Definir manualmente",$J192,""))))</f>
        <v/>
      </c>
      <c r="AF192" s="21">
        <f>IF($A192="","",IF($AG192&lt;&gt;"Pronta","Aguardando correção",IF(OR($I192="",$I192="Pendente"),"Decisão pendente",IF(AND($I192="Definir manualmente",OR($J192="",$J192&lt;=0)),"Informe o preço manual",IF(OR($AE192&lt;$Q192,$AE192&gt;$R192),"Preço final fora do piso/teto","OK")))))</f>
        <v/>
      </c>
      <c r="AG192" s="26">
        <f>IF(COUNTA($A192:$K192)=0,"",IF(OR($A192="",$B192="",$C192="",$D192="",$E192="",$F192="",$H192=""),"Incompleta",IF(OR(COUNTIF($A$5:$A$204,$A192)&gt;1,NOT(ISNUMBER($B192)),COUNTIF(Produtos!$A$4:$A$103,$C192)&lt;&gt;1,IFERROR(INDEX(Produtos!$K$4:$K$103,MATCH($C192,Produtos!$A$4:$A$103,0))&lt;&gt;"Ativo",TRUE),IFERROR(INDEX(Produtos!$L$4:$L$103,MATCH($C192,Produtos!$A$4:$A$103,0))&lt;&gt;"OK",TRUE),COUNTIF(Regras!$A$4:$A$103,$D192)&lt;&gt;1,IFERROR(INDEX(Regras!$O$4:$O$103,MATCH($D192,Regras!$A$4:$A$103,0))&lt;&gt;"Sim",TRUE),IFERROR(INDEX(Regras!$P$4:$P$103,MATCH($D192,Regras!$A$4:$A$103,0))&lt;&gt;"OK",TRUE),NOT(ISNUMBER($E192)),$E192&lt;=0,NOT(ISNUMBER($F192)),$F192&lt;0,$F192&gt;5,NOT(ISNUMBER($H192)),$H192&lt;0,$H192&lt;&gt;INT($H192),AND($G192&lt;&gt;"",OR(NOT(ISNUMBER($G192)),$G192&lt;=0))),"Revisar","Pronta")))</f>
        <v/>
      </c>
    </row>
    <row r="193">
      <c r="A193" s="16" t="n"/>
      <c r="B193" s="24" t="n"/>
      <c r="C193" s="16" t="n"/>
      <c r="D193" s="16" t="n"/>
      <c r="E193" s="17" t="n"/>
      <c r="F193" s="18" t="n"/>
      <c r="G193" s="17" t="n"/>
      <c r="H193" s="20" t="n"/>
      <c r="I193" s="16" t="n"/>
      <c r="J193" s="17" t="n"/>
      <c r="K193" s="25" t="n"/>
      <c r="L193" s="26">
        <f>IF($C193="","",IFERROR(INDEX(Produtos!$B$4:$B$103,MATCH($C193,Produtos!$A$4:$A$103,0)),""))</f>
        <v/>
      </c>
      <c r="M193" s="26">
        <f>IF($C193="","",IFERROR(INDEX(Produtos!$C$4:$C$103,MATCH($C193,Produtos!$A$4:$A$103,0)),""))</f>
        <v/>
      </c>
      <c r="N193" s="19">
        <f>IF($C193="","",IFERROR(INDEX(Produtos!$D$4:$D$103,MATCH($C193,Produtos!$A$4:$A$103,0)),""))</f>
        <v/>
      </c>
      <c r="O193" s="27">
        <f>IF($C193="","",IFERROR(INDEX(Produtos!$E$4:$E$103,MATCH($C193,Produtos!$A$4:$A$103,0)),""))</f>
        <v/>
      </c>
      <c r="P193" s="19">
        <f>IF($C193="","",IFERROR(INDEX(Produtos!$G$4:$G$103,MATCH($C193,Produtos!$A$4:$A$103,0)),""))</f>
        <v/>
      </c>
      <c r="Q193" s="19">
        <f>IF($C193="","",IFERROR(INDEX(Produtos!$H$4:$H$103,MATCH($C193,Produtos!$A$4:$A$103,0)),""))</f>
        <v/>
      </c>
      <c r="R193" s="19">
        <f>IF($C193="","",IFERROR(INDEX(Produtos!$I$4:$I$103,MATCH($C193,Produtos!$A$4:$A$103,0)),""))</f>
        <v/>
      </c>
      <c r="S193" s="28">
        <f>IF($C193="","",IFERROR(INDEX(Produtos!$J$4:$J$103,MATCH($C193,Produtos!$A$4:$A$103,0)),""))</f>
        <v/>
      </c>
      <c r="T193" s="27">
        <f>IF($AG193&lt;&gt;"Pronta","",IFERROR(IF($F193&lt;=INDEX(Regras!$C$4:$C$103,MATCH($D193,Regras!$A$4:$A$103,0)),INDEX(Regras!$E$4:$E$103,MATCH($D193,Regras!$A$4:$A$103,0)),IF($F193&gt;=INDEX(Regras!$D$4:$D$103,MATCH($D193,Regras!$A$4:$A$103,0)),INDEX(Regras!$F$4:$F$103,MATCH($D193,Regras!$A$4:$A$103,0)),0)),""))</f>
        <v/>
      </c>
      <c r="U193" s="27">
        <f>IF($AG193&lt;&gt;"Pronta","",IFERROR(IF($G193="",0,IF($G193&lt;=$E193*(1-INDEX(Regras!$G$4:$G$103,MATCH($D193,Regras!$A$4:$A$103,0))),INDEX(Regras!$H$4:$H$103,MATCH($D193,Regras!$A$4:$A$103,0)),IF($G193&gt;=$E193*(1+INDEX(Regras!$G$4:$G$103,MATCH($D193,Regras!$A$4:$A$103,0))),INDEX(Regras!$I$4:$I$103,MATCH($D193,Regras!$A$4:$A$103,0)),0))),""))</f>
        <v/>
      </c>
      <c r="V193" s="27">
        <f>IF($AG193&lt;&gt;"Pronta","",IFERROR(IF($H193/$S193&lt;=INDEX(Regras!$J$4:$J$103,MATCH($D193,Regras!$A$4:$A$103,0)),INDEX(Regras!$L$4:$L$103,MATCH($D193,Regras!$A$4:$A$103,0)),IF($H193/$S193&gt;=INDEX(Regras!$K$4:$K$103,MATCH($D193,Regras!$A$4:$A$103,0)),INDEX(Regras!$M$4:$M$103,MATCH($D193,Regras!$A$4:$A$103,0)),0)),""))</f>
        <v/>
      </c>
      <c r="W193" s="27">
        <f>IF($AG193&lt;&gt;"Pronta","",SUM($T193:$V193))</f>
        <v/>
      </c>
      <c r="X193" s="27">
        <f>IF($AG193&lt;&gt;"Pronta","",IFERROR(MAX(-INDEX(Regras!$N$4:$N$103,MATCH($D193,Regras!$A$4:$A$103,0)),MIN(INDEX(Regras!$N$4:$N$103,MATCH($D193,Regras!$A$4:$A$103,0)),$W193)),""))</f>
        <v/>
      </c>
      <c r="Y193" s="19">
        <f>IF($AG193&lt;&gt;"Pronta","",IFERROR(ROUND($E193*(1+$X193),2),""))</f>
        <v/>
      </c>
      <c r="Z193" s="29">
        <f>IF(OR($AG193&lt;&gt;"Pronta",$Q193="",$R193=""),"",IFERROR(ROUND(MIN($R193,MAX($Q193,$Y193)),2),""))</f>
        <v/>
      </c>
      <c r="AA193" s="27">
        <f>IF(OR($E193="",$Z193=""),"",IFERROR($Z193/$E193-1,""))</f>
        <v/>
      </c>
      <c r="AB193" s="26">
        <f>IF($Z193="","",IF($Y193&lt;$Q193,"Piso",IF($Y193&gt;$R193,"Teto","Nenhuma")))</f>
        <v/>
      </c>
      <c r="AC193" s="21">
        <f>IF($A193="","",IF($AG193&lt;&gt;"Pronta","Aguardando dados válidos",_xlfn.TEXTJOIN(" | ",TRUE,IF($T193&gt;0,"Demanda: aumento",IF($T193&lt;0,"Demanda: redução","")),IF($U193&gt;0,"Concorrência: aumento",IF($U193&lt;0,"Concorrência: redução","")),IF($V193&gt;0,"Estoque: aumento",IF($V193&lt;0,"Estoque: redução","")),IF(ABS($W193-$X193)&gt;0.0000001,"Limite da rodada aplicado",""),IF($AB193="Piso","Piso vigente aplicado",IF($AB193="Teto","Teto aplicado","")),IF(AND($T193=0,$U193=0,$V193=0),"Sem gatilho de reajuste",""))))</f>
        <v/>
      </c>
      <c r="AD193" s="21">
        <f>IF(OR($A193="",$AG193&lt;&gt;"Pronta"),"",_xlfn.TEXTJOIN(" | ",TRUE,IF($E193&lt;$Q193,"Preço atual abaixo do piso",""),IF($E193&gt;$R193,"Preço atual acima do teto",""),IF(AND($N193&gt;0,$E193&gt;0,1-$N193/$E193&lt;$O193),"Margem estimada do preço atual abaixo do mínimo",""),IF($G193="","Preço concorrente não informado",""),IF($AB193="Piso","Recomendação travada no piso",""),IF($AB193="Teto","Recomendação travada no teto","")))</f>
        <v/>
      </c>
      <c r="AE193" s="19">
        <f>IF($AG193&lt;&gt;"Pronta","",IF($I193="Aprovar recomendação",$Z193,IF($I193="Manter preço atual",$E193,IF($I193="Definir manualmente",$J193,""))))</f>
        <v/>
      </c>
      <c r="AF193" s="21">
        <f>IF($A193="","",IF($AG193&lt;&gt;"Pronta","Aguardando correção",IF(OR($I193="",$I193="Pendente"),"Decisão pendente",IF(AND($I193="Definir manualmente",OR($J193="",$J193&lt;=0)),"Informe o preço manual",IF(OR($AE193&lt;$Q193,$AE193&gt;$R193),"Preço final fora do piso/teto","OK")))))</f>
        <v/>
      </c>
      <c r="AG193" s="26">
        <f>IF(COUNTA($A193:$K193)=0,"",IF(OR($A193="",$B193="",$C193="",$D193="",$E193="",$F193="",$H193=""),"Incompleta",IF(OR(COUNTIF($A$5:$A$204,$A193)&gt;1,NOT(ISNUMBER($B193)),COUNTIF(Produtos!$A$4:$A$103,$C193)&lt;&gt;1,IFERROR(INDEX(Produtos!$K$4:$K$103,MATCH($C193,Produtos!$A$4:$A$103,0))&lt;&gt;"Ativo",TRUE),IFERROR(INDEX(Produtos!$L$4:$L$103,MATCH($C193,Produtos!$A$4:$A$103,0))&lt;&gt;"OK",TRUE),COUNTIF(Regras!$A$4:$A$103,$D193)&lt;&gt;1,IFERROR(INDEX(Regras!$O$4:$O$103,MATCH($D193,Regras!$A$4:$A$103,0))&lt;&gt;"Sim",TRUE),IFERROR(INDEX(Regras!$P$4:$P$103,MATCH($D193,Regras!$A$4:$A$103,0))&lt;&gt;"OK",TRUE),NOT(ISNUMBER($E193)),$E193&lt;=0,NOT(ISNUMBER($F193)),$F193&lt;0,$F193&gt;5,NOT(ISNUMBER($H193)),$H193&lt;0,$H193&lt;&gt;INT($H193),AND($G193&lt;&gt;"",OR(NOT(ISNUMBER($G193)),$G193&lt;=0))),"Revisar","Pronta")))</f>
        <v/>
      </c>
    </row>
    <row r="194">
      <c r="A194" s="16" t="n"/>
      <c r="B194" s="24" t="n"/>
      <c r="C194" s="16" t="n"/>
      <c r="D194" s="16" t="n"/>
      <c r="E194" s="17" t="n"/>
      <c r="F194" s="18" t="n"/>
      <c r="G194" s="17" t="n"/>
      <c r="H194" s="20" t="n"/>
      <c r="I194" s="16" t="n"/>
      <c r="J194" s="17" t="n"/>
      <c r="K194" s="25" t="n"/>
      <c r="L194" s="26">
        <f>IF($C194="","",IFERROR(INDEX(Produtos!$B$4:$B$103,MATCH($C194,Produtos!$A$4:$A$103,0)),""))</f>
        <v/>
      </c>
      <c r="M194" s="26">
        <f>IF($C194="","",IFERROR(INDEX(Produtos!$C$4:$C$103,MATCH($C194,Produtos!$A$4:$A$103,0)),""))</f>
        <v/>
      </c>
      <c r="N194" s="19">
        <f>IF($C194="","",IFERROR(INDEX(Produtos!$D$4:$D$103,MATCH($C194,Produtos!$A$4:$A$103,0)),""))</f>
        <v/>
      </c>
      <c r="O194" s="27">
        <f>IF($C194="","",IFERROR(INDEX(Produtos!$E$4:$E$103,MATCH($C194,Produtos!$A$4:$A$103,0)),""))</f>
        <v/>
      </c>
      <c r="P194" s="19">
        <f>IF($C194="","",IFERROR(INDEX(Produtos!$G$4:$G$103,MATCH($C194,Produtos!$A$4:$A$103,0)),""))</f>
        <v/>
      </c>
      <c r="Q194" s="19">
        <f>IF($C194="","",IFERROR(INDEX(Produtos!$H$4:$H$103,MATCH($C194,Produtos!$A$4:$A$103,0)),""))</f>
        <v/>
      </c>
      <c r="R194" s="19">
        <f>IF($C194="","",IFERROR(INDEX(Produtos!$I$4:$I$103,MATCH($C194,Produtos!$A$4:$A$103,0)),""))</f>
        <v/>
      </c>
      <c r="S194" s="28">
        <f>IF($C194="","",IFERROR(INDEX(Produtos!$J$4:$J$103,MATCH($C194,Produtos!$A$4:$A$103,0)),""))</f>
        <v/>
      </c>
      <c r="T194" s="27">
        <f>IF($AG194&lt;&gt;"Pronta","",IFERROR(IF($F194&lt;=INDEX(Regras!$C$4:$C$103,MATCH($D194,Regras!$A$4:$A$103,0)),INDEX(Regras!$E$4:$E$103,MATCH($D194,Regras!$A$4:$A$103,0)),IF($F194&gt;=INDEX(Regras!$D$4:$D$103,MATCH($D194,Regras!$A$4:$A$103,0)),INDEX(Regras!$F$4:$F$103,MATCH($D194,Regras!$A$4:$A$103,0)),0)),""))</f>
        <v/>
      </c>
      <c r="U194" s="27">
        <f>IF($AG194&lt;&gt;"Pronta","",IFERROR(IF($G194="",0,IF($G194&lt;=$E194*(1-INDEX(Regras!$G$4:$G$103,MATCH($D194,Regras!$A$4:$A$103,0))),INDEX(Regras!$H$4:$H$103,MATCH($D194,Regras!$A$4:$A$103,0)),IF($G194&gt;=$E194*(1+INDEX(Regras!$G$4:$G$103,MATCH($D194,Regras!$A$4:$A$103,0))),INDEX(Regras!$I$4:$I$103,MATCH($D194,Regras!$A$4:$A$103,0)),0))),""))</f>
        <v/>
      </c>
      <c r="V194" s="27">
        <f>IF($AG194&lt;&gt;"Pronta","",IFERROR(IF($H194/$S194&lt;=INDEX(Regras!$J$4:$J$103,MATCH($D194,Regras!$A$4:$A$103,0)),INDEX(Regras!$L$4:$L$103,MATCH($D194,Regras!$A$4:$A$103,0)),IF($H194/$S194&gt;=INDEX(Regras!$K$4:$K$103,MATCH($D194,Regras!$A$4:$A$103,0)),INDEX(Regras!$M$4:$M$103,MATCH($D194,Regras!$A$4:$A$103,0)),0)),""))</f>
        <v/>
      </c>
      <c r="W194" s="27">
        <f>IF($AG194&lt;&gt;"Pronta","",SUM($T194:$V194))</f>
        <v/>
      </c>
      <c r="X194" s="27">
        <f>IF($AG194&lt;&gt;"Pronta","",IFERROR(MAX(-INDEX(Regras!$N$4:$N$103,MATCH($D194,Regras!$A$4:$A$103,0)),MIN(INDEX(Regras!$N$4:$N$103,MATCH($D194,Regras!$A$4:$A$103,0)),$W194)),""))</f>
        <v/>
      </c>
      <c r="Y194" s="19">
        <f>IF($AG194&lt;&gt;"Pronta","",IFERROR(ROUND($E194*(1+$X194),2),""))</f>
        <v/>
      </c>
      <c r="Z194" s="29">
        <f>IF(OR($AG194&lt;&gt;"Pronta",$Q194="",$R194=""),"",IFERROR(ROUND(MIN($R194,MAX($Q194,$Y194)),2),""))</f>
        <v/>
      </c>
      <c r="AA194" s="27">
        <f>IF(OR($E194="",$Z194=""),"",IFERROR($Z194/$E194-1,""))</f>
        <v/>
      </c>
      <c r="AB194" s="26">
        <f>IF($Z194="","",IF($Y194&lt;$Q194,"Piso",IF($Y194&gt;$R194,"Teto","Nenhuma")))</f>
        <v/>
      </c>
      <c r="AC194" s="21">
        <f>IF($A194="","",IF($AG194&lt;&gt;"Pronta","Aguardando dados válidos",_xlfn.TEXTJOIN(" | ",TRUE,IF($T194&gt;0,"Demanda: aumento",IF($T194&lt;0,"Demanda: redução","")),IF($U194&gt;0,"Concorrência: aumento",IF($U194&lt;0,"Concorrência: redução","")),IF($V194&gt;0,"Estoque: aumento",IF($V194&lt;0,"Estoque: redução","")),IF(ABS($W194-$X194)&gt;0.0000001,"Limite da rodada aplicado",""),IF($AB194="Piso","Piso vigente aplicado",IF($AB194="Teto","Teto aplicado","")),IF(AND($T194=0,$U194=0,$V194=0),"Sem gatilho de reajuste",""))))</f>
        <v/>
      </c>
      <c r="AD194" s="21">
        <f>IF(OR($A194="",$AG194&lt;&gt;"Pronta"),"",_xlfn.TEXTJOIN(" | ",TRUE,IF($E194&lt;$Q194,"Preço atual abaixo do piso",""),IF($E194&gt;$R194,"Preço atual acima do teto",""),IF(AND($N194&gt;0,$E194&gt;0,1-$N194/$E194&lt;$O194),"Margem estimada do preço atual abaixo do mínimo",""),IF($G194="","Preço concorrente não informado",""),IF($AB194="Piso","Recomendação travada no piso",""),IF($AB194="Teto","Recomendação travada no teto","")))</f>
        <v/>
      </c>
      <c r="AE194" s="19">
        <f>IF($AG194&lt;&gt;"Pronta","",IF($I194="Aprovar recomendação",$Z194,IF($I194="Manter preço atual",$E194,IF($I194="Definir manualmente",$J194,""))))</f>
        <v/>
      </c>
      <c r="AF194" s="21">
        <f>IF($A194="","",IF($AG194&lt;&gt;"Pronta","Aguardando correção",IF(OR($I194="",$I194="Pendente"),"Decisão pendente",IF(AND($I194="Definir manualmente",OR($J194="",$J194&lt;=0)),"Informe o preço manual",IF(OR($AE194&lt;$Q194,$AE194&gt;$R194),"Preço final fora do piso/teto","OK")))))</f>
        <v/>
      </c>
      <c r="AG194" s="26">
        <f>IF(COUNTA($A194:$K194)=0,"",IF(OR($A194="",$B194="",$C194="",$D194="",$E194="",$F194="",$H194=""),"Incompleta",IF(OR(COUNTIF($A$5:$A$204,$A194)&gt;1,NOT(ISNUMBER($B194)),COUNTIF(Produtos!$A$4:$A$103,$C194)&lt;&gt;1,IFERROR(INDEX(Produtos!$K$4:$K$103,MATCH($C194,Produtos!$A$4:$A$103,0))&lt;&gt;"Ativo",TRUE),IFERROR(INDEX(Produtos!$L$4:$L$103,MATCH($C194,Produtos!$A$4:$A$103,0))&lt;&gt;"OK",TRUE),COUNTIF(Regras!$A$4:$A$103,$D194)&lt;&gt;1,IFERROR(INDEX(Regras!$O$4:$O$103,MATCH($D194,Regras!$A$4:$A$103,0))&lt;&gt;"Sim",TRUE),IFERROR(INDEX(Regras!$P$4:$P$103,MATCH($D194,Regras!$A$4:$A$103,0))&lt;&gt;"OK",TRUE),NOT(ISNUMBER($E194)),$E194&lt;=0,NOT(ISNUMBER($F194)),$F194&lt;0,$F194&gt;5,NOT(ISNUMBER($H194)),$H194&lt;0,$H194&lt;&gt;INT($H194),AND($G194&lt;&gt;"",OR(NOT(ISNUMBER($G194)),$G194&lt;=0))),"Revisar","Pronta")))</f>
        <v/>
      </c>
    </row>
    <row r="195">
      <c r="A195" s="16" t="n"/>
      <c r="B195" s="24" t="n"/>
      <c r="C195" s="16" t="n"/>
      <c r="D195" s="16" t="n"/>
      <c r="E195" s="17" t="n"/>
      <c r="F195" s="18" t="n"/>
      <c r="G195" s="17" t="n"/>
      <c r="H195" s="20" t="n"/>
      <c r="I195" s="16" t="n"/>
      <c r="J195" s="17" t="n"/>
      <c r="K195" s="25" t="n"/>
      <c r="L195" s="26">
        <f>IF($C195="","",IFERROR(INDEX(Produtos!$B$4:$B$103,MATCH($C195,Produtos!$A$4:$A$103,0)),""))</f>
        <v/>
      </c>
      <c r="M195" s="26">
        <f>IF($C195="","",IFERROR(INDEX(Produtos!$C$4:$C$103,MATCH($C195,Produtos!$A$4:$A$103,0)),""))</f>
        <v/>
      </c>
      <c r="N195" s="19">
        <f>IF($C195="","",IFERROR(INDEX(Produtos!$D$4:$D$103,MATCH($C195,Produtos!$A$4:$A$103,0)),""))</f>
        <v/>
      </c>
      <c r="O195" s="27">
        <f>IF($C195="","",IFERROR(INDEX(Produtos!$E$4:$E$103,MATCH($C195,Produtos!$A$4:$A$103,0)),""))</f>
        <v/>
      </c>
      <c r="P195" s="19">
        <f>IF($C195="","",IFERROR(INDEX(Produtos!$G$4:$G$103,MATCH($C195,Produtos!$A$4:$A$103,0)),""))</f>
        <v/>
      </c>
      <c r="Q195" s="19">
        <f>IF($C195="","",IFERROR(INDEX(Produtos!$H$4:$H$103,MATCH($C195,Produtos!$A$4:$A$103,0)),""))</f>
        <v/>
      </c>
      <c r="R195" s="19">
        <f>IF($C195="","",IFERROR(INDEX(Produtos!$I$4:$I$103,MATCH($C195,Produtos!$A$4:$A$103,0)),""))</f>
        <v/>
      </c>
      <c r="S195" s="28">
        <f>IF($C195="","",IFERROR(INDEX(Produtos!$J$4:$J$103,MATCH($C195,Produtos!$A$4:$A$103,0)),""))</f>
        <v/>
      </c>
      <c r="T195" s="27">
        <f>IF($AG195&lt;&gt;"Pronta","",IFERROR(IF($F195&lt;=INDEX(Regras!$C$4:$C$103,MATCH($D195,Regras!$A$4:$A$103,0)),INDEX(Regras!$E$4:$E$103,MATCH($D195,Regras!$A$4:$A$103,0)),IF($F195&gt;=INDEX(Regras!$D$4:$D$103,MATCH($D195,Regras!$A$4:$A$103,0)),INDEX(Regras!$F$4:$F$103,MATCH($D195,Regras!$A$4:$A$103,0)),0)),""))</f>
        <v/>
      </c>
      <c r="U195" s="27">
        <f>IF($AG195&lt;&gt;"Pronta","",IFERROR(IF($G195="",0,IF($G195&lt;=$E195*(1-INDEX(Regras!$G$4:$G$103,MATCH($D195,Regras!$A$4:$A$103,0))),INDEX(Regras!$H$4:$H$103,MATCH($D195,Regras!$A$4:$A$103,0)),IF($G195&gt;=$E195*(1+INDEX(Regras!$G$4:$G$103,MATCH($D195,Regras!$A$4:$A$103,0))),INDEX(Regras!$I$4:$I$103,MATCH($D195,Regras!$A$4:$A$103,0)),0))),""))</f>
        <v/>
      </c>
      <c r="V195" s="27">
        <f>IF($AG195&lt;&gt;"Pronta","",IFERROR(IF($H195/$S195&lt;=INDEX(Regras!$J$4:$J$103,MATCH($D195,Regras!$A$4:$A$103,0)),INDEX(Regras!$L$4:$L$103,MATCH($D195,Regras!$A$4:$A$103,0)),IF($H195/$S195&gt;=INDEX(Regras!$K$4:$K$103,MATCH($D195,Regras!$A$4:$A$103,0)),INDEX(Regras!$M$4:$M$103,MATCH($D195,Regras!$A$4:$A$103,0)),0)),""))</f>
        <v/>
      </c>
      <c r="W195" s="27">
        <f>IF($AG195&lt;&gt;"Pronta","",SUM($T195:$V195))</f>
        <v/>
      </c>
      <c r="X195" s="27">
        <f>IF($AG195&lt;&gt;"Pronta","",IFERROR(MAX(-INDEX(Regras!$N$4:$N$103,MATCH($D195,Regras!$A$4:$A$103,0)),MIN(INDEX(Regras!$N$4:$N$103,MATCH($D195,Regras!$A$4:$A$103,0)),$W195)),""))</f>
        <v/>
      </c>
      <c r="Y195" s="19">
        <f>IF($AG195&lt;&gt;"Pronta","",IFERROR(ROUND($E195*(1+$X195),2),""))</f>
        <v/>
      </c>
      <c r="Z195" s="29">
        <f>IF(OR($AG195&lt;&gt;"Pronta",$Q195="",$R195=""),"",IFERROR(ROUND(MIN($R195,MAX($Q195,$Y195)),2),""))</f>
        <v/>
      </c>
      <c r="AA195" s="27">
        <f>IF(OR($E195="",$Z195=""),"",IFERROR($Z195/$E195-1,""))</f>
        <v/>
      </c>
      <c r="AB195" s="26">
        <f>IF($Z195="","",IF($Y195&lt;$Q195,"Piso",IF($Y195&gt;$R195,"Teto","Nenhuma")))</f>
        <v/>
      </c>
      <c r="AC195" s="21">
        <f>IF($A195="","",IF($AG195&lt;&gt;"Pronta","Aguardando dados válidos",_xlfn.TEXTJOIN(" | ",TRUE,IF($T195&gt;0,"Demanda: aumento",IF($T195&lt;0,"Demanda: redução","")),IF($U195&gt;0,"Concorrência: aumento",IF($U195&lt;0,"Concorrência: redução","")),IF($V195&gt;0,"Estoque: aumento",IF($V195&lt;0,"Estoque: redução","")),IF(ABS($W195-$X195)&gt;0.0000001,"Limite da rodada aplicado",""),IF($AB195="Piso","Piso vigente aplicado",IF($AB195="Teto","Teto aplicado","")),IF(AND($T195=0,$U195=0,$V195=0),"Sem gatilho de reajuste",""))))</f>
        <v/>
      </c>
      <c r="AD195" s="21">
        <f>IF(OR($A195="",$AG195&lt;&gt;"Pronta"),"",_xlfn.TEXTJOIN(" | ",TRUE,IF($E195&lt;$Q195,"Preço atual abaixo do piso",""),IF($E195&gt;$R195,"Preço atual acima do teto",""),IF(AND($N195&gt;0,$E195&gt;0,1-$N195/$E195&lt;$O195),"Margem estimada do preço atual abaixo do mínimo",""),IF($G195="","Preço concorrente não informado",""),IF($AB195="Piso","Recomendação travada no piso",""),IF($AB195="Teto","Recomendação travada no teto","")))</f>
        <v/>
      </c>
      <c r="AE195" s="19">
        <f>IF($AG195&lt;&gt;"Pronta","",IF($I195="Aprovar recomendação",$Z195,IF($I195="Manter preço atual",$E195,IF($I195="Definir manualmente",$J195,""))))</f>
        <v/>
      </c>
      <c r="AF195" s="21">
        <f>IF($A195="","",IF($AG195&lt;&gt;"Pronta","Aguardando correção",IF(OR($I195="",$I195="Pendente"),"Decisão pendente",IF(AND($I195="Definir manualmente",OR($J195="",$J195&lt;=0)),"Informe o preço manual",IF(OR($AE195&lt;$Q195,$AE195&gt;$R195),"Preço final fora do piso/teto","OK")))))</f>
        <v/>
      </c>
      <c r="AG195" s="26">
        <f>IF(COUNTA($A195:$K195)=0,"",IF(OR($A195="",$B195="",$C195="",$D195="",$E195="",$F195="",$H195=""),"Incompleta",IF(OR(COUNTIF($A$5:$A$204,$A195)&gt;1,NOT(ISNUMBER($B195)),COUNTIF(Produtos!$A$4:$A$103,$C195)&lt;&gt;1,IFERROR(INDEX(Produtos!$K$4:$K$103,MATCH($C195,Produtos!$A$4:$A$103,0))&lt;&gt;"Ativo",TRUE),IFERROR(INDEX(Produtos!$L$4:$L$103,MATCH($C195,Produtos!$A$4:$A$103,0))&lt;&gt;"OK",TRUE),COUNTIF(Regras!$A$4:$A$103,$D195)&lt;&gt;1,IFERROR(INDEX(Regras!$O$4:$O$103,MATCH($D195,Regras!$A$4:$A$103,0))&lt;&gt;"Sim",TRUE),IFERROR(INDEX(Regras!$P$4:$P$103,MATCH($D195,Regras!$A$4:$A$103,0))&lt;&gt;"OK",TRUE),NOT(ISNUMBER($E195)),$E195&lt;=0,NOT(ISNUMBER($F195)),$F195&lt;0,$F195&gt;5,NOT(ISNUMBER($H195)),$H195&lt;0,$H195&lt;&gt;INT($H195),AND($G195&lt;&gt;"",OR(NOT(ISNUMBER($G195)),$G195&lt;=0))),"Revisar","Pronta")))</f>
        <v/>
      </c>
    </row>
    <row r="196">
      <c r="A196" s="16" t="n"/>
      <c r="B196" s="24" t="n"/>
      <c r="C196" s="16" t="n"/>
      <c r="D196" s="16" t="n"/>
      <c r="E196" s="17" t="n"/>
      <c r="F196" s="18" t="n"/>
      <c r="G196" s="17" t="n"/>
      <c r="H196" s="20" t="n"/>
      <c r="I196" s="16" t="n"/>
      <c r="J196" s="17" t="n"/>
      <c r="K196" s="25" t="n"/>
      <c r="L196" s="26">
        <f>IF($C196="","",IFERROR(INDEX(Produtos!$B$4:$B$103,MATCH($C196,Produtos!$A$4:$A$103,0)),""))</f>
        <v/>
      </c>
      <c r="M196" s="26">
        <f>IF($C196="","",IFERROR(INDEX(Produtos!$C$4:$C$103,MATCH($C196,Produtos!$A$4:$A$103,0)),""))</f>
        <v/>
      </c>
      <c r="N196" s="19">
        <f>IF($C196="","",IFERROR(INDEX(Produtos!$D$4:$D$103,MATCH($C196,Produtos!$A$4:$A$103,0)),""))</f>
        <v/>
      </c>
      <c r="O196" s="27">
        <f>IF($C196="","",IFERROR(INDEX(Produtos!$E$4:$E$103,MATCH($C196,Produtos!$A$4:$A$103,0)),""))</f>
        <v/>
      </c>
      <c r="P196" s="19">
        <f>IF($C196="","",IFERROR(INDEX(Produtos!$G$4:$G$103,MATCH($C196,Produtos!$A$4:$A$103,0)),""))</f>
        <v/>
      </c>
      <c r="Q196" s="19">
        <f>IF($C196="","",IFERROR(INDEX(Produtos!$H$4:$H$103,MATCH($C196,Produtos!$A$4:$A$103,0)),""))</f>
        <v/>
      </c>
      <c r="R196" s="19">
        <f>IF($C196="","",IFERROR(INDEX(Produtos!$I$4:$I$103,MATCH($C196,Produtos!$A$4:$A$103,0)),""))</f>
        <v/>
      </c>
      <c r="S196" s="28">
        <f>IF($C196="","",IFERROR(INDEX(Produtos!$J$4:$J$103,MATCH($C196,Produtos!$A$4:$A$103,0)),""))</f>
        <v/>
      </c>
      <c r="T196" s="27">
        <f>IF($AG196&lt;&gt;"Pronta","",IFERROR(IF($F196&lt;=INDEX(Regras!$C$4:$C$103,MATCH($D196,Regras!$A$4:$A$103,0)),INDEX(Regras!$E$4:$E$103,MATCH($D196,Regras!$A$4:$A$103,0)),IF($F196&gt;=INDEX(Regras!$D$4:$D$103,MATCH($D196,Regras!$A$4:$A$103,0)),INDEX(Regras!$F$4:$F$103,MATCH($D196,Regras!$A$4:$A$103,0)),0)),""))</f>
        <v/>
      </c>
      <c r="U196" s="27">
        <f>IF($AG196&lt;&gt;"Pronta","",IFERROR(IF($G196="",0,IF($G196&lt;=$E196*(1-INDEX(Regras!$G$4:$G$103,MATCH($D196,Regras!$A$4:$A$103,0))),INDEX(Regras!$H$4:$H$103,MATCH($D196,Regras!$A$4:$A$103,0)),IF($G196&gt;=$E196*(1+INDEX(Regras!$G$4:$G$103,MATCH($D196,Regras!$A$4:$A$103,0))),INDEX(Regras!$I$4:$I$103,MATCH($D196,Regras!$A$4:$A$103,0)),0))),""))</f>
        <v/>
      </c>
      <c r="V196" s="27">
        <f>IF($AG196&lt;&gt;"Pronta","",IFERROR(IF($H196/$S196&lt;=INDEX(Regras!$J$4:$J$103,MATCH($D196,Regras!$A$4:$A$103,0)),INDEX(Regras!$L$4:$L$103,MATCH($D196,Regras!$A$4:$A$103,0)),IF($H196/$S196&gt;=INDEX(Regras!$K$4:$K$103,MATCH($D196,Regras!$A$4:$A$103,0)),INDEX(Regras!$M$4:$M$103,MATCH($D196,Regras!$A$4:$A$103,0)),0)),""))</f>
        <v/>
      </c>
      <c r="W196" s="27">
        <f>IF($AG196&lt;&gt;"Pronta","",SUM($T196:$V196))</f>
        <v/>
      </c>
      <c r="X196" s="27">
        <f>IF($AG196&lt;&gt;"Pronta","",IFERROR(MAX(-INDEX(Regras!$N$4:$N$103,MATCH($D196,Regras!$A$4:$A$103,0)),MIN(INDEX(Regras!$N$4:$N$103,MATCH($D196,Regras!$A$4:$A$103,0)),$W196)),""))</f>
        <v/>
      </c>
      <c r="Y196" s="19">
        <f>IF($AG196&lt;&gt;"Pronta","",IFERROR(ROUND($E196*(1+$X196),2),""))</f>
        <v/>
      </c>
      <c r="Z196" s="29">
        <f>IF(OR($AG196&lt;&gt;"Pronta",$Q196="",$R196=""),"",IFERROR(ROUND(MIN($R196,MAX($Q196,$Y196)),2),""))</f>
        <v/>
      </c>
      <c r="AA196" s="27">
        <f>IF(OR($E196="",$Z196=""),"",IFERROR($Z196/$E196-1,""))</f>
        <v/>
      </c>
      <c r="AB196" s="26">
        <f>IF($Z196="","",IF($Y196&lt;$Q196,"Piso",IF($Y196&gt;$R196,"Teto","Nenhuma")))</f>
        <v/>
      </c>
      <c r="AC196" s="21">
        <f>IF($A196="","",IF($AG196&lt;&gt;"Pronta","Aguardando dados válidos",_xlfn.TEXTJOIN(" | ",TRUE,IF($T196&gt;0,"Demanda: aumento",IF($T196&lt;0,"Demanda: redução","")),IF($U196&gt;0,"Concorrência: aumento",IF($U196&lt;0,"Concorrência: redução","")),IF($V196&gt;0,"Estoque: aumento",IF($V196&lt;0,"Estoque: redução","")),IF(ABS($W196-$X196)&gt;0.0000001,"Limite da rodada aplicado",""),IF($AB196="Piso","Piso vigente aplicado",IF($AB196="Teto","Teto aplicado","")),IF(AND($T196=0,$U196=0,$V196=0),"Sem gatilho de reajuste",""))))</f>
        <v/>
      </c>
      <c r="AD196" s="21">
        <f>IF(OR($A196="",$AG196&lt;&gt;"Pronta"),"",_xlfn.TEXTJOIN(" | ",TRUE,IF($E196&lt;$Q196,"Preço atual abaixo do piso",""),IF($E196&gt;$R196,"Preço atual acima do teto",""),IF(AND($N196&gt;0,$E196&gt;0,1-$N196/$E196&lt;$O196),"Margem estimada do preço atual abaixo do mínimo",""),IF($G196="","Preço concorrente não informado",""),IF($AB196="Piso","Recomendação travada no piso",""),IF($AB196="Teto","Recomendação travada no teto","")))</f>
        <v/>
      </c>
      <c r="AE196" s="19">
        <f>IF($AG196&lt;&gt;"Pronta","",IF($I196="Aprovar recomendação",$Z196,IF($I196="Manter preço atual",$E196,IF($I196="Definir manualmente",$J196,""))))</f>
        <v/>
      </c>
      <c r="AF196" s="21">
        <f>IF($A196="","",IF($AG196&lt;&gt;"Pronta","Aguardando correção",IF(OR($I196="",$I196="Pendente"),"Decisão pendente",IF(AND($I196="Definir manualmente",OR($J196="",$J196&lt;=0)),"Informe o preço manual",IF(OR($AE196&lt;$Q196,$AE196&gt;$R196),"Preço final fora do piso/teto","OK")))))</f>
        <v/>
      </c>
      <c r="AG196" s="26">
        <f>IF(COUNTA($A196:$K196)=0,"",IF(OR($A196="",$B196="",$C196="",$D196="",$E196="",$F196="",$H196=""),"Incompleta",IF(OR(COUNTIF($A$5:$A$204,$A196)&gt;1,NOT(ISNUMBER($B196)),COUNTIF(Produtos!$A$4:$A$103,$C196)&lt;&gt;1,IFERROR(INDEX(Produtos!$K$4:$K$103,MATCH($C196,Produtos!$A$4:$A$103,0))&lt;&gt;"Ativo",TRUE),IFERROR(INDEX(Produtos!$L$4:$L$103,MATCH($C196,Produtos!$A$4:$A$103,0))&lt;&gt;"OK",TRUE),COUNTIF(Regras!$A$4:$A$103,$D196)&lt;&gt;1,IFERROR(INDEX(Regras!$O$4:$O$103,MATCH($D196,Regras!$A$4:$A$103,0))&lt;&gt;"Sim",TRUE),IFERROR(INDEX(Regras!$P$4:$P$103,MATCH($D196,Regras!$A$4:$A$103,0))&lt;&gt;"OK",TRUE),NOT(ISNUMBER($E196)),$E196&lt;=0,NOT(ISNUMBER($F196)),$F196&lt;0,$F196&gt;5,NOT(ISNUMBER($H196)),$H196&lt;0,$H196&lt;&gt;INT($H196),AND($G196&lt;&gt;"",OR(NOT(ISNUMBER($G196)),$G196&lt;=0))),"Revisar","Pronta")))</f>
        <v/>
      </c>
    </row>
    <row r="197">
      <c r="A197" s="16" t="n"/>
      <c r="B197" s="24" t="n"/>
      <c r="C197" s="16" t="n"/>
      <c r="D197" s="16" t="n"/>
      <c r="E197" s="17" t="n"/>
      <c r="F197" s="18" t="n"/>
      <c r="G197" s="17" t="n"/>
      <c r="H197" s="20" t="n"/>
      <c r="I197" s="16" t="n"/>
      <c r="J197" s="17" t="n"/>
      <c r="K197" s="25" t="n"/>
      <c r="L197" s="26">
        <f>IF($C197="","",IFERROR(INDEX(Produtos!$B$4:$B$103,MATCH($C197,Produtos!$A$4:$A$103,0)),""))</f>
        <v/>
      </c>
      <c r="M197" s="26">
        <f>IF($C197="","",IFERROR(INDEX(Produtos!$C$4:$C$103,MATCH($C197,Produtos!$A$4:$A$103,0)),""))</f>
        <v/>
      </c>
      <c r="N197" s="19">
        <f>IF($C197="","",IFERROR(INDEX(Produtos!$D$4:$D$103,MATCH($C197,Produtos!$A$4:$A$103,0)),""))</f>
        <v/>
      </c>
      <c r="O197" s="27">
        <f>IF($C197="","",IFERROR(INDEX(Produtos!$E$4:$E$103,MATCH($C197,Produtos!$A$4:$A$103,0)),""))</f>
        <v/>
      </c>
      <c r="P197" s="19">
        <f>IF($C197="","",IFERROR(INDEX(Produtos!$G$4:$G$103,MATCH($C197,Produtos!$A$4:$A$103,0)),""))</f>
        <v/>
      </c>
      <c r="Q197" s="19">
        <f>IF($C197="","",IFERROR(INDEX(Produtos!$H$4:$H$103,MATCH($C197,Produtos!$A$4:$A$103,0)),""))</f>
        <v/>
      </c>
      <c r="R197" s="19">
        <f>IF($C197="","",IFERROR(INDEX(Produtos!$I$4:$I$103,MATCH($C197,Produtos!$A$4:$A$103,0)),""))</f>
        <v/>
      </c>
      <c r="S197" s="28">
        <f>IF($C197="","",IFERROR(INDEX(Produtos!$J$4:$J$103,MATCH($C197,Produtos!$A$4:$A$103,0)),""))</f>
        <v/>
      </c>
      <c r="T197" s="27">
        <f>IF($AG197&lt;&gt;"Pronta","",IFERROR(IF($F197&lt;=INDEX(Regras!$C$4:$C$103,MATCH($D197,Regras!$A$4:$A$103,0)),INDEX(Regras!$E$4:$E$103,MATCH($D197,Regras!$A$4:$A$103,0)),IF($F197&gt;=INDEX(Regras!$D$4:$D$103,MATCH($D197,Regras!$A$4:$A$103,0)),INDEX(Regras!$F$4:$F$103,MATCH($D197,Regras!$A$4:$A$103,0)),0)),""))</f>
        <v/>
      </c>
      <c r="U197" s="27">
        <f>IF($AG197&lt;&gt;"Pronta","",IFERROR(IF($G197="",0,IF($G197&lt;=$E197*(1-INDEX(Regras!$G$4:$G$103,MATCH($D197,Regras!$A$4:$A$103,0))),INDEX(Regras!$H$4:$H$103,MATCH($D197,Regras!$A$4:$A$103,0)),IF($G197&gt;=$E197*(1+INDEX(Regras!$G$4:$G$103,MATCH($D197,Regras!$A$4:$A$103,0))),INDEX(Regras!$I$4:$I$103,MATCH($D197,Regras!$A$4:$A$103,0)),0))),""))</f>
        <v/>
      </c>
      <c r="V197" s="27">
        <f>IF($AG197&lt;&gt;"Pronta","",IFERROR(IF($H197/$S197&lt;=INDEX(Regras!$J$4:$J$103,MATCH($D197,Regras!$A$4:$A$103,0)),INDEX(Regras!$L$4:$L$103,MATCH($D197,Regras!$A$4:$A$103,0)),IF($H197/$S197&gt;=INDEX(Regras!$K$4:$K$103,MATCH($D197,Regras!$A$4:$A$103,0)),INDEX(Regras!$M$4:$M$103,MATCH($D197,Regras!$A$4:$A$103,0)),0)),""))</f>
        <v/>
      </c>
      <c r="W197" s="27">
        <f>IF($AG197&lt;&gt;"Pronta","",SUM($T197:$V197))</f>
        <v/>
      </c>
      <c r="X197" s="27">
        <f>IF($AG197&lt;&gt;"Pronta","",IFERROR(MAX(-INDEX(Regras!$N$4:$N$103,MATCH($D197,Regras!$A$4:$A$103,0)),MIN(INDEX(Regras!$N$4:$N$103,MATCH($D197,Regras!$A$4:$A$103,0)),$W197)),""))</f>
        <v/>
      </c>
      <c r="Y197" s="19">
        <f>IF($AG197&lt;&gt;"Pronta","",IFERROR(ROUND($E197*(1+$X197),2),""))</f>
        <v/>
      </c>
      <c r="Z197" s="29">
        <f>IF(OR($AG197&lt;&gt;"Pronta",$Q197="",$R197=""),"",IFERROR(ROUND(MIN($R197,MAX($Q197,$Y197)),2),""))</f>
        <v/>
      </c>
      <c r="AA197" s="27">
        <f>IF(OR($E197="",$Z197=""),"",IFERROR($Z197/$E197-1,""))</f>
        <v/>
      </c>
      <c r="AB197" s="26">
        <f>IF($Z197="","",IF($Y197&lt;$Q197,"Piso",IF($Y197&gt;$R197,"Teto","Nenhuma")))</f>
        <v/>
      </c>
      <c r="AC197" s="21">
        <f>IF($A197="","",IF($AG197&lt;&gt;"Pronta","Aguardando dados válidos",_xlfn.TEXTJOIN(" | ",TRUE,IF($T197&gt;0,"Demanda: aumento",IF($T197&lt;0,"Demanda: redução","")),IF($U197&gt;0,"Concorrência: aumento",IF($U197&lt;0,"Concorrência: redução","")),IF($V197&gt;0,"Estoque: aumento",IF($V197&lt;0,"Estoque: redução","")),IF(ABS($W197-$X197)&gt;0.0000001,"Limite da rodada aplicado",""),IF($AB197="Piso","Piso vigente aplicado",IF($AB197="Teto","Teto aplicado","")),IF(AND($T197=0,$U197=0,$V197=0),"Sem gatilho de reajuste",""))))</f>
        <v/>
      </c>
      <c r="AD197" s="21">
        <f>IF(OR($A197="",$AG197&lt;&gt;"Pronta"),"",_xlfn.TEXTJOIN(" | ",TRUE,IF($E197&lt;$Q197,"Preço atual abaixo do piso",""),IF($E197&gt;$R197,"Preço atual acima do teto",""),IF(AND($N197&gt;0,$E197&gt;0,1-$N197/$E197&lt;$O197),"Margem estimada do preço atual abaixo do mínimo",""),IF($G197="","Preço concorrente não informado",""),IF($AB197="Piso","Recomendação travada no piso",""),IF($AB197="Teto","Recomendação travada no teto","")))</f>
        <v/>
      </c>
      <c r="AE197" s="19">
        <f>IF($AG197&lt;&gt;"Pronta","",IF($I197="Aprovar recomendação",$Z197,IF($I197="Manter preço atual",$E197,IF($I197="Definir manualmente",$J197,""))))</f>
        <v/>
      </c>
      <c r="AF197" s="21">
        <f>IF($A197="","",IF($AG197&lt;&gt;"Pronta","Aguardando correção",IF(OR($I197="",$I197="Pendente"),"Decisão pendente",IF(AND($I197="Definir manualmente",OR($J197="",$J197&lt;=0)),"Informe o preço manual",IF(OR($AE197&lt;$Q197,$AE197&gt;$R197),"Preço final fora do piso/teto","OK")))))</f>
        <v/>
      </c>
      <c r="AG197" s="26">
        <f>IF(COUNTA($A197:$K197)=0,"",IF(OR($A197="",$B197="",$C197="",$D197="",$E197="",$F197="",$H197=""),"Incompleta",IF(OR(COUNTIF($A$5:$A$204,$A197)&gt;1,NOT(ISNUMBER($B197)),COUNTIF(Produtos!$A$4:$A$103,$C197)&lt;&gt;1,IFERROR(INDEX(Produtos!$K$4:$K$103,MATCH($C197,Produtos!$A$4:$A$103,0))&lt;&gt;"Ativo",TRUE),IFERROR(INDEX(Produtos!$L$4:$L$103,MATCH($C197,Produtos!$A$4:$A$103,0))&lt;&gt;"OK",TRUE),COUNTIF(Regras!$A$4:$A$103,$D197)&lt;&gt;1,IFERROR(INDEX(Regras!$O$4:$O$103,MATCH($D197,Regras!$A$4:$A$103,0))&lt;&gt;"Sim",TRUE),IFERROR(INDEX(Regras!$P$4:$P$103,MATCH($D197,Regras!$A$4:$A$103,0))&lt;&gt;"OK",TRUE),NOT(ISNUMBER($E197)),$E197&lt;=0,NOT(ISNUMBER($F197)),$F197&lt;0,$F197&gt;5,NOT(ISNUMBER($H197)),$H197&lt;0,$H197&lt;&gt;INT($H197),AND($G197&lt;&gt;"",OR(NOT(ISNUMBER($G197)),$G197&lt;=0))),"Revisar","Pronta")))</f>
        <v/>
      </c>
    </row>
    <row r="198">
      <c r="A198" s="16" t="n"/>
      <c r="B198" s="24" t="n"/>
      <c r="C198" s="16" t="n"/>
      <c r="D198" s="16" t="n"/>
      <c r="E198" s="17" t="n"/>
      <c r="F198" s="18" t="n"/>
      <c r="G198" s="17" t="n"/>
      <c r="H198" s="20" t="n"/>
      <c r="I198" s="16" t="n"/>
      <c r="J198" s="17" t="n"/>
      <c r="K198" s="25" t="n"/>
      <c r="L198" s="26">
        <f>IF($C198="","",IFERROR(INDEX(Produtos!$B$4:$B$103,MATCH($C198,Produtos!$A$4:$A$103,0)),""))</f>
        <v/>
      </c>
      <c r="M198" s="26">
        <f>IF($C198="","",IFERROR(INDEX(Produtos!$C$4:$C$103,MATCH($C198,Produtos!$A$4:$A$103,0)),""))</f>
        <v/>
      </c>
      <c r="N198" s="19">
        <f>IF($C198="","",IFERROR(INDEX(Produtos!$D$4:$D$103,MATCH($C198,Produtos!$A$4:$A$103,0)),""))</f>
        <v/>
      </c>
      <c r="O198" s="27">
        <f>IF($C198="","",IFERROR(INDEX(Produtos!$E$4:$E$103,MATCH($C198,Produtos!$A$4:$A$103,0)),""))</f>
        <v/>
      </c>
      <c r="P198" s="19">
        <f>IF($C198="","",IFERROR(INDEX(Produtos!$G$4:$G$103,MATCH($C198,Produtos!$A$4:$A$103,0)),""))</f>
        <v/>
      </c>
      <c r="Q198" s="19">
        <f>IF($C198="","",IFERROR(INDEX(Produtos!$H$4:$H$103,MATCH($C198,Produtos!$A$4:$A$103,0)),""))</f>
        <v/>
      </c>
      <c r="R198" s="19">
        <f>IF($C198="","",IFERROR(INDEX(Produtos!$I$4:$I$103,MATCH($C198,Produtos!$A$4:$A$103,0)),""))</f>
        <v/>
      </c>
      <c r="S198" s="28">
        <f>IF($C198="","",IFERROR(INDEX(Produtos!$J$4:$J$103,MATCH($C198,Produtos!$A$4:$A$103,0)),""))</f>
        <v/>
      </c>
      <c r="T198" s="27">
        <f>IF($AG198&lt;&gt;"Pronta","",IFERROR(IF($F198&lt;=INDEX(Regras!$C$4:$C$103,MATCH($D198,Regras!$A$4:$A$103,0)),INDEX(Regras!$E$4:$E$103,MATCH($D198,Regras!$A$4:$A$103,0)),IF($F198&gt;=INDEX(Regras!$D$4:$D$103,MATCH($D198,Regras!$A$4:$A$103,0)),INDEX(Regras!$F$4:$F$103,MATCH($D198,Regras!$A$4:$A$103,0)),0)),""))</f>
        <v/>
      </c>
      <c r="U198" s="27">
        <f>IF($AG198&lt;&gt;"Pronta","",IFERROR(IF($G198="",0,IF($G198&lt;=$E198*(1-INDEX(Regras!$G$4:$G$103,MATCH($D198,Regras!$A$4:$A$103,0))),INDEX(Regras!$H$4:$H$103,MATCH($D198,Regras!$A$4:$A$103,0)),IF($G198&gt;=$E198*(1+INDEX(Regras!$G$4:$G$103,MATCH($D198,Regras!$A$4:$A$103,0))),INDEX(Regras!$I$4:$I$103,MATCH($D198,Regras!$A$4:$A$103,0)),0))),""))</f>
        <v/>
      </c>
      <c r="V198" s="27">
        <f>IF($AG198&lt;&gt;"Pronta","",IFERROR(IF($H198/$S198&lt;=INDEX(Regras!$J$4:$J$103,MATCH($D198,Regras!$A$4:$A$103,0)),INDEX(Regras!$L$4:$L$103,MATCH($D198,Regras!$A$4:$A$103,0)),IF($H198/$S198&gt;=INDEX(Regras!$K$4:$K$103,MATCH($D198,Regras!$A$4:$A$103,0)),INDEX(Regras!$M$4:$M$103,MATCH($D198,Regras!$A$4:$A$103,0)),0)),""))</f>
        <v/>
      </c>
      <c r="W198" s="27">
        <f>IF($AG198&lt;&gt;"Pronta","",SUM($T198:$V198))</f>
        <v/>
      </c>
      <c r="X198" s="27">
        <f>IF($AG198&lt;&gt;"Pronta","",IFERROR(MAX(-INDEX(Regras!$N$4:$N$103,MATCH($D198,Regras!$A$4:$A$103,0)),MIN(INDEX(Regras!$N$4:$N$103,MATCH($D198,Regras!$A$4:$A$103,0)),$W198)),""))</f>
        <v/>
      </c>
      <c r="Y198" s="19">
        <f>IF($AG198&lt;&gt;"Pronta","",IFERROR(ROUND($E198*(1+$X198),2),""))</f>
        <v/>
      </c>
      <c r="Z198" s="29">
        <f>IF(OR($AG198&lt;&gt;"Pronta",$Q198="",$R198=""),"",IFERROR(ROUND(MIN($R198,MAX($Q198,$Y198)),2),""))</f>
        <v/>
      </c>
      <c r="AA198" s="27">
        <f>IF(OR($E198="",$Z198=""),"",IFERROR($Z198/$E198-1,""))</f>
        <v/>
      </c>
      <c r="AB198" s="26">
        <f>IF($Z198="","",IF($Y198&lt;$Q198,"Piso",IF($Y198&gt;$R198,"Teto","Nenhuma")))</f>
        <v/>
      </c>
      <c r="AC198" s="21">
        <f>IF($A198="","",IF($AG198&lt;&gt;"Pronta","Aguardando dados válidos",_xlfn.TEXTJOIN(" | ",TRUE,IF($T198&gt;0,"Demanda: aumento",IF($T198&lt;0,"Demanda: redução","")),IF($U198&gt;0,"Concorrência: aumento",IF($U198&lt;0,"Concorrência: redução","")),IF($V198&gt;0,"Estoque: aumento",IF($V198&lt;0,"Estoque: redução","")),IF(ABS($W198-$X198)&gt;0.0000001,"Limite da rodada aplicado",""),IF($AB198="Piso","Piso vigente aplicado",IF($AB198="Teto","Teto aplicado","")),IF(AND($T198=0,$U198=0,$V198=0),"Sem gatilho de reajuste",""))))</f>
        <v/>
      </c>
      <c r="AD198" s="21">
        <f>IF(OR($A198="",$AG198&lt;&gt;"Pronta"),"",_xlfn.TEXTJOIN(" | ",TRUE,IF($E198&lt;$Q198,"Preço atual abaixo do piso",""),IF($E198&gt;$R198,"Preço atual acima do teto",""),IF(AND($N198&gt;0,$E198&gt;0,1-$N198/$E198&lt;$O198),"Margem estimada do preço atual abaixo do mínimo",""),IF($G198="","Preço concorrente não informado",""),IF($AB198="Piso","Recomendação travada no piso",""),IF($AB198="Teto","Recomendação travada no teto","")))</f>
        <v/>
      </c>
      <c r="AE198" s="19">
        <f>IF($AG198&lt;&gt;"Pronta","",IF($I198="Aprovar recomendação",$Z198,IF($I198="Manter preço atual",$E198,IF($I198="Definir manualmente",$J198,""))))</f>
        <v/>
      </c>
      <c r="AF198" s="21">
        <f>IF($A198="","",IF($AG198&lt;&gt;"Pronta","Aguardando correção",IF(OR($I198="",$I198="Pendente"),"Decisão pendente",IF(AND($I198="Definir manualmente",OR($J198="",$J198&lt;=0)),"Informe o preço manual",IF(OR($AE198&lt;$Q198,$AE198&gt;$R198),"Preço final fora do piso/teto","OK")))))</f>
        <v/>
      </c>
      <c r="AG198" s="26">
        <f>IF(COUNTA($A198:$K198)=0,"",IF(OR($A198="",$B198="",$C198="",$D198="",$E198="",$F198="",$H198=""),"Incompleta",IF(OR(COUNTIF($A$5:$A$204,$A198)&gt;1,NOT(ISNUMBER($B198)),COUNTIF(Produtos!$A$4:$A$103,$C198)&lt;&gt;1,IFERROR(INDEX(Produtos!$K$4:$K$103,MATCH($C198,Produtos!$A$4:$A$103,0))&lt;&gt;"Ativo",TRUE),IFERROR(INDEX(Produtos!$L$4:$L$103,MATCH($C198,Produtos!$A$4:$A$103,0))&lt;&gt;"OK",TRUE),COUNTIF(Regras!$A$4:$A$103,$D198)&lt;&gt;1,IFERROR(INDEX(Regras!$O$4:$O$103,MATCH($D198,Regras!$A$4:$A$103,0))&lt;&gt;"Sim",TRUE),IFERROR(INDEX(Regras!$P$4:$P$103,MATCH($D198,Regras!$A$4:$A$103,0))&lt;&gt;"OK",TRUE),NOT(ISNUMBER($E198)),$E198&lt;=0,NOT(ISNUMBER($F198)),$F198&lt;0,$F198&gt;5,NOT(ISNUMBER($H198)),$H198&lt;0,$H198&lt;&gt;INT($H198),AND($G198&lt;&gt;"",OR(NOT(ISNUMBER($G198)),$G198&lt;=0))),"Revisar","Pronta")))</f>
        <v/>
      </c>
    </row>
    <row r="199">
      <c r="A199" s="16" t="n"/>
      <c r="B199" s="24" t="n"/>
      <c r="C199" s="16" t="n"/>
      <c r="D199" s="16" t="n"/>
      <c r="E199" s="17" t="n"/>
      <c r="F199" s="18" t="n"/>
      <c r="G199" s="17" t="n"/>
      <c r="H199" s="20" t="n"/>
      <c r="I199" s="16" t="n"/>
      <c r="J199" s="17" t="n"/>
      <c r="K199" s="25" t="n"/>
      <c r="L199" s="26">
        <f>IF($C199="","",IFERROR(INDEX(Produtos!$B$4:$B$103,MATCH($C199,Produtos!$A$4:$A$103,0)),""))</f>
        <v/>
      </c>
      <c r="M199" s="26">
        <f>IF($C199="","",IFERROR(INDEX(Produtos!$C$4:$C$103,MATCH($C199,Produtos!$A$4:$A$103,0)),""))</f>
        <v/>
      </c>
      <c r="N199" s="19">
        <f>IF($C199="","",IFERROR(INDEX(Produtos!$D$4:$D$103,MATCH($C199,Produtos!$A$4:$A$103,0)),""))</f>
        <v/>
      </c>
      <c r="O199" s="27">
        <f>IF($C199="","",IFERROR(INDEX(Produtos!$E$4:$E$103,MATCH($C199,Produtos!$A$4:$A$103,0)),""))</f>
        <v/>
      </c>
      <c r="P199" s="19">
        <f>IF($C199="","",IFERROR(INDEX(Produtos!$G$4:$G$103,MATCH($C199,Produtos!$A$4:$A$103,0)),""))</f>
        <v/>
      </c>
      <c r="Q199" s="19">
        <f>IF($C199="","",IFERROR(INDEX(Produtos!$H$4:$H$103,MATCH($C199,Produtos!$A$4:$A$103,0)),""))</f>
        <v/>
      </c>
      <c r="R199" s="19">
        <f>IF($C199="","",IFERROR(INDEX(Produtos!$I$4:$I$103,MATCH($C199,Produtos!$A$4:$A$103,0)),""))</f>
        <v/>
      </c>
      <c r="S199" s="28">
        <f>IF($C199="","",IFERROR(INDEX(Produtos!$J$4:$J$103,MATCH($C199,Produtos!$A$4:$A$103,0)),""))</f>
        <v/>
      </c>
      <c r="T199" s="27">
        <f>IF($AG199&lt;&gt;"Pronta","",IFERROR(IF($F199&lt;=INDEX(Regras!$C$4:$C$103,MATCH($D199,Regras!$A$4:$A$103,0)),INDEX(Regras!$E$4:$E$103,MATCH($D199,Regras!$A$4:$A$103,0)),IF($F199&gt;=INDEX(Regras!$D$4:$D$103,MATCH($D199,Regras!$A$4:$A$103,0)),INDEX(Regras!$F$4:$F$103,MATCH($D199,Regras!$A$4:$A$103,0)),0)),""))</f>
        <v/>
      </c>
      <c r="U199" s="27">
        <f>IF($AG199&lt;&gt;"Pronta","",IFERROR(IF($G199="",0,IF($G199&lt;=$E199*(1-INDEX(Regras!$G$4:$G$103,MATCH($D199,Regras!$A$4:$A$103,0))),INDEX(Regras!$H$4:$H$103,MATCH($D199,Regras!$A$4:$A$103,0)),IF($G199&gt;=$E199*(1+INDEX(Regras!$G$4:$G$103,MATCH($D199,Regras!$A$4:$A$103,0))),INDEX(Regras!$I$4:$I$103,MATCH($D199,Regras!$A$4:$A$103,0)),0))),""))</f>
        <v/>
      </c>
      <c r="V199" s="27">
        <f>IF($AG199&lt;&gt;"Pronta","",IFERROR(IF($H199/$S199&lt;=INDEX(Regras!$J$4:$J$103,MATCH($D199,Regras!$A$4:$A$103,0)),INDEX(Regras!$L$4:$L$103,MATCH($D199,Regras!$A$4:$A$103,0)),IF($H199/$S199&gt;=INDEX(Regras!$K$4:$K$103,MATCH($D199,Regras!$A$4:$A$103,0)),INDEX(Regras!$M$4:$M$103,MATCH($D199,Regras!$A$4:$A$103,0)),0)),""))</f>
        <v/>
      </c>
      <c r="W199" s="27">
        <f>IF($AG199&lt;&gt;"Pronta","",SUM($T199:$V199))</f>
        <v/>
      </c>
      <c r="X199" s="27">
        <f>IF($AG199&lt;&gt;"Pronta","",IFERROR(MAX(-INDEX(Regras!$N$4:$N$103,MATCH($D199,Regras!$A$4:$A$103,0)),MIN(INDEX(Regras!$N$4:$N$103,MATCH($D199,Regras!$A$4:$A$103,0)),$W199)),""))</f>
        <v/>
      </c>
      <c r="Y199" s="19">
        <f>IF($AG199&lt;&gt;"Pronta","",IFERROR(ROUND($E199*(1+$X199),2),""))</f>
        <v/>
      </c>
      <c r="Z199" s="29">
        <f>IF(OR($AG199&lt;&gt;"Pronta",$Q199="",$R199=""),"",IFERROR(ROUND(MIN($R199,MAX($Q199,$Y199)),2),""))</f>
        <v/>
      </c>
      <c r="AA199" s="27">
        <f>IF(OR($E199="",$Z199=""),"",IFERROR($Z199/$E199-1,""))</f>
        <v/>
      </c>
      <c r="AB199" s="26">
        <f>IF($Z199="","",IF($Y199&lt;$Q199,"Piso",IF($Y199&gt;$R199,"Teto","Nenhuma")))</f>
        <v/>
      </c>
      <c r="AC199" s="21">
        <f>IF($A199="","",IF($AG199&lt;&gt;"Pronta","Aguardando dados válidos",_xlfn.TEXTJOIN(" | ",TRUE,IF($T199&gt;0,"Demanda: aumento",IF($T199&lt;0,"Demanda: redução","")),IF($U199&gt;0,"Concorrência: aumento",IF($U199&lt;0,"Concorrência: redução","")),IF($V199&gt;0,"Estoque: aumento",IF($V199&lt;0,"Estoque: redução","")),IF(ABS($W199-$X199)&gt;0.0000001,"Limite da rodada aplicado",""),IF($AB199="Piso","Piso vigente aplicado",IF($AB199="Teto","Teto aplicado","")),IF(AND($T199=0,$U199=0,$V199=0),"Sem gatilho de reajuste",""))))</f>
        <v/>
      </c>
      <c r="AD199" s="21">
        <f>IF(OR($A199="",$AG199&lt;&gt;"Pronta"),"",_xlfn.TEXTJOIN(" | ",TRUE,IF($E199&lt;$Q199,"Preço atual abaixo do piso",""),IF($E199&gt;$R199,"Preço atual acima do teto",""),IF(AND($N199&gt;0,$E199&gt;0,1-$N199/$E199&lt;$O199),"Margem estimada do preço atual abaixo do mínimo",""),IF($G199="","Preço concorrente não informado",""),IF($AB199="Piso","Recomendação travada no piso",""),IF($AB199="Teto","Recomendação travada no teto","")))</f>
        <v/>
      </c>
      <c r="AE199" s="19">
        <f>IF($AG199&lt;&gt;"Pronta","",IF($I199="Aprovar recomendação",$Z199,IF($I199="Manter preço atual",$E199,IF($I199="Definir manualmente",$J199,""))))</f>
        <v/>
      </c>
      <c r="AF199" s="21">
        <f>IF($A199="","",IF($AG199&lt;&gt;"Pronta","Aguardando correção",IF(OR($I199="",$I199="Pendente"),"Decisão pendente",IF(AND($I199="Definir manualmente",OR($J199="",$J199&lt;=0)),"Informe o preço manual",IF(OR($AE199&lt;$Q199,$AE199&gt;$R199),"Preço final fora do piso/teto","OK")))))</f>
        <v/>
      </c>
      <c r="AG199" s="26">
        <f>IF(COUNTA($A199:$K199)=0,"",IF(OR($A199="",$B199="",$C199="",$D199="",$E199="",$F199="",$H199=""),"Incompleta",IF(OR(COUNTIF($A$5:$A$204,$A199)&gt;1,NOT(ISNUMBER($B199)),COUNTIF(Produtos!$A$4:$A$103,$C199)&lt;&gt;1,IFERROR(INDEX(Produtos!$K$4:$K$103,MATCH($C199,Produtos!$A$4:$A$103,0))&lt;&gt;"Ativo",TRUE),IFERROR(INDEX(Produtos!$L$4:$L$103,MATCH($C199,Produtos!$A$4:$A$103,0))&lt;&gt;"OK",TRUE),COUNTIF(Regras!$A$4:$A$103,$D199)&lt;&gt;1,IFERROR(INDEX(Regras!$O$4:$O$103,MATCH($D199,Regras!$A$4:$A$103,0))&lt;&gt;"Sim",TRUE),IFERROR(INDEX(Regras!$P$4:$P$103,MATCH($D199,Regras!$A$4:$A$103,0))&lt;&gt;"OK",TRUE),NOT(ISNUMBER($E199)),$E199&lt;=0,NOT(ISNUMBER($F199)),$F199&lt;0,$F199&gt;5,NOT(ISNUMBER($H199)),$H199&lt;0,$H199&lt;&gt;INT($H199),AND($G199&lt;&gt;"",OR(NOT(ISNUMBER($G199)),$G199&lt;=0))),"Revisar","Pronta")))</f>
        <v/>
      </c>
    </row>
    <row r="200">
      <c r="A200" s="16" t="n"/>
      <c r="B200" s="24" t="n"/>
      <c r="C200" s="16" t="n"/>
      <c r="D200" s="16" t="n"/>
      <c r="E200" s="17" t="n"/>
      <c r="F200" s="18" t="n"/>
      <c r="G200" s="17" t="n"/>
      <c r="H200" s="20" t="n"/>
      <c r="I200" s="16" t="n"/>
      <c r="J200" s="17" t="n"/>
      <c r="K200" s="25" t="n"/>
      <c r="L200" s="26">
        <f>IF($C200="","",IFERROR(INDEX(Produtos!$B$4:$B$103,MATCH($C200,Produtos!$A$4:$A$103,0)),""))</f>
        <v/>
      </c>
      <c r="M200" s="26">
        <f>IF($C200="","",IFERROR(INDEX(Produtos!$C$4:$C$103,MATCH($C200,Produtos!$A$4:$A$103,0)),""))</f>
        <v/>
      </c>
      <c r="N200" s="19">
        <f>IF($C200="","",IFERROR(INDEX(Produtos!$D$4:$D$103,MATCH($C200,Produtos!$A$4:$A$103,0)),""))</f>
        <v/>
      </c>
      <c r="O200" s="27">
        <f>IF($C200="","",IFERROR(INDEX(Produtos!$E$4:$E$103,MATCH($C200,Produtos!$A$4:$A$103,0)),""))</f>
        <v/>
      </c>
      <c r="P200" s="19">
        <f>IF($C200="","",IFERROR(INDEX(Produtos!$G$4:$G$103,MATCH($C200,Produtos!$A$4:$A$103,0)),""))</f>
        <v/>
      </c>
      <c r="Q200" s="19">
        <f>IF($C200="","",IFERROR(INDEX(Produtos!$H$4:$H$103,MATCH($C200,Produtos!$A$4:$A$103,0)),""))</f>
        <v/>
      </c>
      <c r="R200" s="19">
        <f>IF($C200="","",IFERROR(INDEX(Produtos!$I$4:$I$103,MATCH($C200,Produtos!$A$4:$A$103,0)),""))</f>
        <v/>
      </c>
      <c r="S200" s="28">
        <f>IF($C200="","",IFERROR(INDEX(Produtos!$J$4:$J$103,MATCH($C200,Produtos!$A$4:$A$103,0)),""))</f>
        <v/>
      </c>
      <c r="T200" s="27">
        <f>IF($AG200&lt;&gt;"Pronta","",IFERROR(IF($F200&lt;=INDEX(Regras!$C$4:$C$103,MATCH($D200,Regras!$A$4:$A$103,0)),INDEX(Regras!$E$4:$E$103,MATCH($D200,Regras!$A$4:$A$103,0)),IF($F200&gt;=INDEX(Regras!$D$4:$D$103,MATCH($D200,Regras!$A$4:$A$103,0)),INDEX(Regras!$F$4:$F$103,MATCH($D200,Regras!$A$4:$A$103,0)),0)),""))</f>
        <v/>
      </c>
      <c r="U200" s="27">
        <f>IF($AG200&lt;&gt;"Pronta","",IFERROR(IF($G200="",0,IF($G200&lt;=$E200*(1-INDEX(Regras!$G$4:$G$103,MATCH($D200,Regras!$A$4:$A$103,0))),INDEX(Regras!$H$4:$H$103,MATCH($D200,Regras!$A$4:$A$103,0)),IF($G200&gt;=$E200*(1+INDEX(Regras!$G$4:$G$103,MATCH($D200,Regras!$A$4:$A$103,0))),INDEX(Regras!$I$4:$I$103,MATCH($D200,Regras!$A$4:$A$103,0)),0))),""))</f>
        <v/>
      </c>
      <c r="V200" s="27">
        <f>IF($AG200&lt;&gt;"Pronta","",IFERROR(IF($H200/$S200&lt;=INDEX(Regras!$J$4:$J$103,MATCH($D200,Regras!$A$4:$A$103,0)),INDEX(Regras!$L$4:$L$103,MATCH($D200,Regras!$A$4:$A$103,0)),IF($H200/$S200&gt;=INDEX(Regras!$K$4:$K$103,MATCH($D200,Regras!$A$4:$A$103,0)),INDEX(Regras!$M$4:$M$103,MATCH($D200,Regras!$A$4:$A$103,0)),0)),""))</f>
        <v/>
      </c>
      <c r="W200" s="27">
        <f>IF($AG200&lt;&gt;"Pronta","",SUM($T200:$V200))</f>
        <v/>
      </c>
      <c r="X200" s="27">
        <f>IF($AG200&lt;&gt;"Pronta","",IFERROR(MAX(-INDEX(Regras!$N$4:$N$103,MATCH($D200,Regras!$A$4:$A$103,0)),MIN(INDEX(Regras!$N$4:$N$103,MATCH($D200,Regras!$A$4:$A$103,0)),$W200)),""))</f>
        <v/>
      </c>
      <c r="Y200" s="19">
        <f>IF($AG200&lt;&gt;"Pronta","",IFERROR(ROUND($E200*(1+$X200),2),""))</f>
        <v/>
      </c>
      <c r="Z200" s="29">
        <f>IF(OR($AG200&lt;&gt;"Pronta",$Q200="",$R200=""),"",IFERROR(ROUND(MIN($R200,MAX($Q200,$Y200)),2),""))</f>
        <v/>
      </c>
      <c r="AA200" s="27">
        <f>IF(OR($E200="",$Z200=""),"",IFERROR($Z200/$E200-1,""))</f>
        <v/>
      </c>
      <c r="AB200" s="26">
        <f>IF($Z200="","",IF($Y200&lt;$Q200,"Piso",IF($Y200&gt;$R200,"Teto","Nenhuma")))</f>
        <v/>
      </c>
      <c r="AC200" s="21">
        <f>IF($A200="","",IF($AG200&lt;&gt;"Pronta","Aguardando dados válidos",_xlfn.TEXTJOIN(" | ",TRUE,IF($T200&gt;0,"Demanda: aumento",IF($T200&lt;0,"Demanda: redução","")),IF($U200&gt;0,"Concorrência: aumento",IF($U200&lt;0,"Concorrência: redução","")),IF($V200&gt;0,"Estoque: aumento",IF($V200&lt;0,"Estoque: redução","")),IF(ABS($W200-$X200)&gt;0.0000001,"Limite da rodada aplicado",""),IF($AB200="Piso","Piso vigente aplicado",IF($AB200="Teto","Teto aplicado","")),IF(AND($T200=0,$U200=0,$V200=0),"Sem gatilho de reajuste",""))))</f>
        <v/>
      </c>
      <c r="AD200" s="21">
        <f>IF(OR($A200="",$AG200&lt;&gt;"Pronta"),"",_xlfn.TEXTJOIN(" | ",TRUE,IF($E200&lt;$Q200,"Preço atual abaixo do piso",""),IF($E200&gt;$R200,"Preço atual acima do teto",""),IF(AND($N200&gt;0,$E200&gt;0,1-$N200/$E200&lt;$O200),"Margem estimada do preço atual abaixo do mínimo",""),IF($G200="","Preço concorrente não informado",""),IF($AB200="Piso","Recomendação travada no piso",""),IF($AB200="Teto","Recomendação travada no teto","")))</f>
        <v/>
      </c>
      <c r="AE200" s="19">
        <f>IF($AG200&lt;&gt;"Pronta","",IF($I200="Aprovar recomendação",$Z200,IF($I200="Manter preço atual",$E200,IF($I200="Definir manualmente",$J200,""))))</f>
        <v/>
      </c>
      <c r="AF200" s="21">
        <f>IF($A200="","",IF($AG200&lt;&gt;"Pronta","Aguardando correção",IF(OR($I200="",$I200="Pendente"),"Decisão pendente",IF(AND($I200="Definir manualmente",OR($J200="",$J200&lt;=0)),"Informe o preço manual",IF(OR($AE200&lt;$Q200,$AE200&gt;$R200),"Preço final fora do piso/teto","OK")))))</f>
        <v/>
      </c>
      <c r="AG200" s="26">
        <f>IF(COUNTA($A200:$K200)=0,"",IF(OR($A200="",$B200="",$C200="",$D200="",$E200="",$F200="",$H200=""),"Incompleta",IF(OR(COUNTIF($A$5:$A$204,$A200)&gt;1,NOT(ISNUMBER($B200)),COUNTIF(Produtos!$A$4:$A$103,$C200)&lt;&gt;1,IFERROR(INDEX(Produtos!$K$4:$K$103,MATCH($C200,Produtos!$A$4:$A$103,0))&lt;&gt;"Ativo",TRUE),IFERROR(INDEX(Produtos!$L$4:$L$103,MATCH($C200,Produtos!$A$4:$A$103,0))&lt;&gt;"OK",TRUE),COUNTIF(Regras!$A$4:$A$103,$D200)&lt;&gt;1,IFERROR(INDEX(Regras!$O$4:$O$103,MATCH($D200,Regras!$A$4:$A$103,0))&lt;&gt;"Sim",TRUE),IFERROR(INDEX(Regras!$P$4:$P$103,MATCH($D200,Regras!$A$4:$A$103,0))&lt;&gt;"OK",TRUE),NOT(ISNUMBER($E200)),$E200&lt;=0,NOT(ISNUMBER($F200)),$F200&lt;0,$F200&gt;5,NOT(ISNUMBER($H200)),$H200&lt;0,$H200&lt;&gt;INT($H200),AND($G200&lt;&gt;"",OR(NOT(ISNUMBER($G200)),$G200&lt;=0))),"Revisar","Pronta")))</f>
        <v/>
      </c>
    </row>
    <row r="201">
      <c r="A201" s="16" t="n"/>
      <c r="B201" s="24" t="n"/>
      <c r="C201" s="16" t="n"/>
      <c r="D201" s="16" t="n"/>
      <c r="E201" s="17" t="n"/>
      <c r="F201" s="18" t="n"/>
      <c r="G201" s="17" t="n"/>
      <c r="H201" s="20" t="n"/>
      <c r="I201" s="16" t="n"/>
      <c r="J201" s="17" t="n"/>
      <c r="K201" s="25" t="n"/>
      <c r="L201" s="26">
        <f>IF($C201="","",IFERROR(INDEX(Produtos!$B$4:$B$103,MATCH($C201,Produtos!$A$4:$A$103,0)),""))</f>
        <v/>
      </c>
      <c r="M201" s="26">
        <f>IF($C201="","",IFERROR(INDEX(Produtos!$C$4:$C$103,MATCH($C201,Produtos!$A$4:$A$103,0)),""))</f>
        <v/>
      </c>
      <c r="N201" s="19">
        <f>IF($C201="","",IFERROR(INDEX(Produtos!$D$4:$D$103,MATCH($C201,Produtos!$A$4:$A$103,0)),""))</f>
        <v/>
      </c>
      <c r="O201" s="27">
        <f>IF($C201="","",IFERROR(INDEX(Produtos!$E$4:$E$103,MATCH($C201,Produtos!$A$4:$A$103,0)),""))</f>
        <v/>
      </c>
      <c r="P201" s="19">
        <f>IF($C201="","",IFERROR(INDEX(Produtos!$G$4:$G$103,MATCH($C201,Produtos!$A$4:$A$103,0)),""))</f>
        <v/>
      </c>
      <c r="Q201" s="19">
        <f>IF($C201="","",IFERROR(INDEX(Produtos!$H$4:$H$103,MATCH($C201,Produtos!$A$4:$A$103,0)),""))</f>
        <v/>
      </c>
      <c r="R201" s="19">
        <f>IF($C201="","",IFERROR(INDEX(Produtos!$I$4:$I$103,MATCH($C201,Produtos!$A$4:$A$103,0)),""))</f>
        <v/>
      </c>
      <c r="S201" s="28">
        <f>IF($C201="","",IFERROR(INDEX(Produtos!$J$4:$J$103,MATCH($C201,Produtos!$A$4:$A$103,0)),""))</f>
        <v/>
      </c>
      <c r="T201" s="27">
        <f>IF($AG201&lt;&gt;"Pronta","",IFERROR(IF($F201&lt;=INDEX(Regras!$C$4:$C$103,MATCH($D201,Regras!$A$4:$A$103,0)),INDEX(Regras!$E$4:$E$103,MATCH($D201,Regras!$A$4:$A$103,0)),IF($F201&gt;=INDEX(Regras!$D$4:$D$103,MATCH($D201,Regras!$A$4:$A$103,0)),INDEX(Regras!$F$4:$F$103,MATCH($D201,Regras!$A$4:$A$103,0)),0)),""))</f>
        <v/>
      </c>
      <c r="U201" s="27">
        <f>IF($AG201&lt;&gt;"Pronta","",IFERROR(IF($G201="",0,IF($G201&lt;=$E201*(1-INDEX(Regras!$G$4:$G$103,MATCH($D201,Regras!$A$4:$A$103,0))),INDEX(Regras!$H$4:$H$103,MATCH($D201,Regras!$A$4:$A$103,0)),IF($G201&gt;=$E201*(1+INDEX(Regras!$G$4:$G$103,MATCH($D201,Regras!$A$4:$A$103,0))),INDEX(Regras!$I$4:$I$103,MATCH($D201,Regras!$A$4:$A$103,0)),0))),""))</f>
        <v/>
      </c>
      <c r="V201" s="27">
        <f>IF($AG201&lt;&gt;"Pronta","",IFERROR(IF($H201/$S201&lt;=INDEX(Regras!$J$4:$J$103,MATCH($D201,Regras!$A$4:$A$103,0)),INDEX(Regras!$L$4:$L$103,MATCH($D201,Regras!$A$4:$A$103,0)),IF($H201/$S201&gt;=INDEX(Regras!$K$4:$K$103,MATCH($D201,Regras!$A$4:$A$103,0)),INDEX(Regras!$M$4:$M$103,MATCH($D201,Regras!$A$4:$A$103,0)),0)),""))</f>
        <v/>
      </c>
      <c r="W201" s="27">
        <f>IF($AG201&lt;&gt;"Pronta","",SUM($T201:$V201))</f>
        <v/>
      </c>
      <c r="X201" s="27">
        <f>IF($AG201&lt;&gt;"Pronta","",IFERROR(MAX(-INDEX(Regras!$N$4:$N$103,MATCH($D201,Regras!$A$4:$A$103,0)),MIN(INDEX(Regras!$N$4:$N$103,MATCH($D201,Regras!$A$4:$A$103,0)),$W201)),""))</f>
        <v/>
      </c>
      <c r="Y201" s="19">
        <f>IF($AG201&lt;&gt;"Pronta","",IFERROR(ROUND($E201*(1+$X201),2),""))</f>
        <v/>
      </c>
      <c r="Z201" s="29">
        <f>IF(OR($AG201&lt;&gt;"Pronta",$Q201="",$R201=""),"",IFERROR(ROUND(MIN($R201,MAX($Q201,$Y201)),2),""))</f>
        <v/>
      </c>
      <c r="AA201" s="27">
        <f>IF(OR($E201="",$Z201=""),"",IFERROR($Z201/$E201-1,""))</f>
        <v/>
      </c>
      <c r="AB201" s="26">
        <f>IF($Z201="","",IF($Y201&lt;$Q201,"Piso",IF($Y201&gt;$R201,"Teto","Nenhuma")))</f>
        <v/>
      </c>
      <c r="AC201" s="21">
        <f>IF($A201="","",IF($AG201&lt;&gt;"Pronta","Aguardando dados válidos",_xlfn.TEXTJOIN(" | ",TRUE,IF($T201&gt;0,"Demanda: aumento",IF($T201&lt;0,"Demanda: redução","")),IF($U201&gt;0,"Concorrência: aumento",IF($U201&lt;0,"Concorrência: redução","")),IF($V201&gt;0,"Estoque: aumento",IF($V201&lt;0,"Estoque: redução","")),IF(ABS($W201-$X201)&gt;0.0000001,"Limite da rodada aplicado",""),IF($AB201="Piso","Piso vigente aplicado",IF($AB201="Teto","Teto aplicado","")),IF(AND($T201=0,$U201=0,$V201=0),"Sem gatilho de reajuste",""))))</f>
        <v/>
      </c>
      <c r="AD201" s="21">
        <f>IF(OR($A201="",$AG201&lt;&gt;"Pronta"),"",_xlfn.TEXTJOIN(" | ",TRUE,IF($E201&lt;$Q201,"Preço atual abaixo do piso",""),IF($E201&gt;$R201,"Preço atual acima do teto",""),IF(AND($N201&gt;0,$E201&gt;0,1-$N201/$E201&lt;$O201),"Margem estimada do preço atual abaixo do mínimo",""),IF($G201="","Preço concorrente não informado",""),IF($AB201="Piso","Recomendação travada no piso",""),IF($AB201="Teto","Recomendação travada no teto","")))</f>
        <v/>
      </c>
      <c r="AE201" s="19">
        <f>IF($AG201&lt;&gt;"Pronta","",IF($I201="Aprovar recomendação",$Z201,IF($I201="Manter preço atual",$E201,IF($I201="Definir manualmente",$J201,""))))</f>
        <v/>
      </c>
      <c r="AF201" s="21">
        <f>IF($A201="","",IF($AG201&lt;&gt;"Pronta","Aguardando correção",IF(OR($I201="",$I201="Pendente"),"Decisão pendente",IF(AND($I201="Definir manualmente",OR($J201="",$J201&lt;=0)),"Informe o preço manual",IF(OR($AE201&lt;$Q201,$AE201&gt;$R201),"Preço final fora do piso/teto","OK")))))</f>
        <v/>
      </c>
      <c r="AG201" s="26">
        <f>IF(COUNTA($A201:$K201)=0,"",IF(OR($A201="",$B201="",$C201="",$D201="",$E201="",$F201="",$H201=""),"Incompleta",IF(OR(COUNTIF($A$5:$A$204,$A201)&gt;1,NOT(ISNUMBER($B201)),COUNTIF(Produtos!$A$4:$A$103,$C201)&lt;&gt;1,IFERROR(INDEX(Produtos!$K$4:$K$103,MATCH($C201,Produtos!$A$4:$A$103,0))&lt;&gt;"Ativo",TRUE),IFERROR(INDEX(Produtos!$L$4:$L$103,MATCH($C201,Produtos!$A$4:$A$103,0))&lt;&gt;"OK",TRUE),COUNTIF(Regras!$A$4:$A$103,$D201)&lt;&gt;1,IFERROR(INDEX(Regras!$O$4:$O$103,MATCH($D201,Regras!$A$4:$A$103,0))&lt;&gt;"Sim",TRUE),IFERROR(INDEX(Regras!$P$4:$P$103,MATCH($D201,Regras!$A$4:$A$103,0))&lt;&gt;"OK",TRUE),NOT(ISNUMBER($E201)),$E201&lt;=0,NOT(ISNUMBER($F201)),$F201&lt;0,$F201&gt;5,NOT(ISNUMBER($H201)),$H201&lt;0,$H201&lt;&gt;INT($H201),AND($G201&lt;&gt;"",OR(NOT(ISNUMBER($G201)),$G201&lt;=0))),"Revisar","Pronta")))</f>
        <v/>
      </c>
    </row>
    <row r="202">
      <c r="A202" s="16" t="n"/>
      <c r="B202" s="24" t="n"/>
      <c r="C202" s="16" t="n"/>
      <c r="D202" s="16" t="n"/>
      <c r="E202" s="17" t="n"/>
      <c r="F202" s="18" t="n"/>
      <c r="G202" s="17" t="n"/>
      <c r="H202" s="20" t="n"/>
      <c r="I202" s="16" t="n"/>
      <c r="J202" s="17" t="n"/>
      <c r="K202" s="25" t="n"/>
      <c r="L202" s="26">
        <f>IF($C202="","",IFERROR(INDEX(Produtos!$B$4:$B$103,MATCH($C202,Produtos!$A$4:$A$103,0)),""))</f>
        <v/>
      </c>
      <c r="M202" s="26">
        <f>IF($C202="","",IFERROR(INDEX(Produtos!$C$4:$C$103,MATCH($C202,Produtos!$A$4:$A$103,0)),""))</f>
        <v/>
      </c>
      <c r="N202" s="19">
        <f>IF($C202="","",IFERROR(INDEX(Produtos!$D$4:$D$103,MATCH($C202,Produtos!$A$4:$A$103,0)),""))</f>
        <v/>
      </c>
      <c r="O202" s="27">
        <f>IF($C202="","",IFERROR(INDEX(Produtos!$E$4:$E$103,MATCH($C202,Produtos!$A$4:$A$103,0)),""))</f>
        <v/>
      </c>
      <c r="P202" s="19">
        <f>IF($C202="","",IFERROR(INDEX(Produtos!$G$4:$G$103,MATCH($C202,Produtos!$A$4:$A$103,0)),""))</f>
        <v/>
      </c>
      <c r="Q202" s="19">
        <f>IF($C202="","",IFERROR(INDEX(Produtos!$H$4:$H$103,MATCH($C202,Produtos!$A$4:$A$103,0)),""))</f>
        <v/>
      </c>
      <c r="R202" s="19">
        <f>IF($C202="","",IFERROR(INDEX(Produtos!$I$4:$I$103,MATCH($C202,Produtos!$A$4:$A$103,0)),""))</f>
        <v/>
      </c>
      <c r="S202" s="28">
        <f>IF($C202="","",IFERROR(INDEX(Produtos!$J$4:$J$103,MATCH($C202,Produtos!$A$4:$A$103,0)),""))</f>
        <v/>
      </c>
      <c r="T202" s="27">
        <f>IF($AG202&lt;&gt;"Pronta","",IFERROR(IF($F202&lt;=INDEX(Regras!$C$4:$C$103,MATCH($D202,Regras!$A$4:$A$103,0)),INDEX(Regras!$E$4:$E$103,MATCH($D202,Regras!$A$4:$A$103,0)),IF($F202&gt;=INDEX(Regras!$D$4:$D$103,MATCH($D202,Regras!$A$4:$A$103,0)),INDEX(Regras!$F$4:$F$103,MATCH($D202,Regras!$A$4:$A$103,0)),0)),""))</f>
        <v/>
      </c>
      <c r="U202" s="27">
        <f>IF($AG202&lt;&gt;"Pronta","",IFERROR(IF($G202="",0,IF($G202&lt;=$E202*(1-INDEX(Regras!$G$4:$G$103,MATCH($D202,Regras!$A$4:$A$103,0))),INDEX(Regras!$H$4:$H$103,MATCH($D202,Regras!$A$4:$A$103,0)),IF($G202&gt;=$E202*(1+INDEX(Regras!$G$4:$G$103,MATCH($D202,Regras!$A$4:$A$103,0))),INDEX(Regras!$I$4:$I$103,MATCH($D202,Regras!$A$4:$A$103,0)),0))),""))</f>
        <v/>
      </c>
      <c r="V202" s="27">
        <f>IF($AG202&lt;&gt;"Pronta","",IFERROR(IF($H202/$S202&lt;=INDEX(Regras!$J$4:$J$103,MATCH($D202,Regras!$A$4:$A$103,0)),INDEX(Regras!$L$4:$L$103,MATCH($D202,Regras!$A$4:$A$103,0)),IF($H202/$S202&gt;=INDEX(Regras!$K$4:$K$103,MATCH($D202,Regras!$A$4:$A$103,0)),INDEX(Regras!$M$4:$M$103,MATCH($D202,Regras!$A$4:$A$103,0)),0)),""))</f>
        <v/>
      </c>
      <c r="W202" s="27">
        <f>IF($AG202&lt;&gt;"Pronta","",SUM($T202:$V202))</f>
        <v/>
      </c>
      <c r="X202" s="27">
        <f>IF($AG202&lt;&gt;"Pronta","",IFERROR(MAX(-INDEX(Regras!$N$4:$N$103,MATCH($D202,Regras!$A$4:$A$103,0)),MIN(INDEX(Regras!$N$4:$N$103,MATCH($D202,Regras!$A$4:$A$103,0)),$W202)),""))</f>
        <v/>
      </c>
      <c r="Y202" s="19">
        <f>IF($AG202&lt;&gt;"Pronta","",IFERROR(ROUND($E202*(1+$X202),2),""))</f>
        <v/>
      </c>
      <c r="Z202" s="29">
        <f>IF(OR($AG202&lt;&gt;"Pronta",$Q202="",$R202=""),"",IFERROR(ROUND(MIN($R202,MAX($Q202,$Y202)),2),""))</f>
        <v/>
      </c>
      <c r="AA202" s="27">
        <f>IF(OR($E202="",$Z202=""),"",IFERROR($Z202/$E202-1,""))</f>
        <v/>
      </c>
      <c r="AB202" s="26">
        <f>IF($Z202="","",IF($Y202&lt;$Q202,"Piso",IF($Y202&gt;$R202,"Teto","Nenhuma")))</f>
        <v/>
      </c>
      <c r="AC202" s="21">
        <f>IF($A202="","",IF($AG202&lt;&gt;"Pronta","Aguardando dados válidos",_xlfn.TEXTJOIN(" | ",TRUE,IF($T202&gt;0,"Demanda: aumento",IF($T202&lt;0,"Demanda: redução","")),IF($U202&gt;0,"Concorrência: aumento",IF($U202&lt;0,"Concorrência: redução","")),IF($V202&gt;0,"Estoque: aumento",IF($V202&lt;0,"Estoque: redução","")),IF(ABS($W202-$X202)&gt;0.0000001,"Limite da rodada aplicado",""),IF($AB202="Piso","Piso vigente aplicado",IF($AB202="Teto","Teto aplicado","")),IF(AND($T202=0,$U202=0,$V202=0),"Sem gatilho de reajuste",""))))</f>
        <v/>
      </c>
      <c r="AD202" s="21">
        <f>IF(OR($A202="",$AG202&lt;&gt;"Pronta"),"",_xlfn.TEXTJOIN(" | ",TRUE,IF($E202&lt;$Q202,"Preço atual abaixo do piso",""),IF($E202&gt;$R202,"Preço atual acima do teto",""),IF(AND($N202&gt;0,$E202&gt;0,1-$N202/$E202&lt;$O202),"Margem estimada do preço atual abaixo do mínimo",""),IF($G202="","Preço concorrente não informado",""),IF($AB202="Piso","Recomendação travada no piso",""),IF($AB202="Teto","Recomendação travada no teto","")))</f>
        <v/>
      </c>
      <c r="AE202" s="19">
        <f>IF($AG202&lt;&gt;"Pronta","",IF($I202="Aprovar recomendação",$Z202,IF($I202="Manter preço atual",$E202,IF($I202="Definir manualmente",$J202,""))))</f>
        <v/>
      </c>
      <c r="AF202" s="21">
        <f>IF($A202="","",IF($AG202&lt;&gt;"Pronta","Aguardando correção",IF(OR($I202="",$I202="Pendente"),"Decisão pendente",IF(AND($I202="Definir manualmente",OR($J202="",$J202&lt;=0)),"Informe o preço manual",IF(OR($AE202&lt;$Q202,$AE202&gt;$R202),"Preço final fora do piso/teto","OK")))))</f>
        <v/>
      </c>
      <c r="AG202" s="26">
        <f>IF(COUNTA($A202:$K202)=0,"",IF(OR($A202="",$B202="",$C202="",$D202="",$E202="",$F202="",$H202=""),"Incompleta",IF(OR(COUNTIF($A$5:$A$204,$A202)&gt;1,NOT(ISNUMBER($B202)),COUNTIF(Produtos!$A$4:$A$103,$C202)&lt;&gt;1,IFERROR(INDEX(Produtos!$K$4:$K$103,MATCH($C202,Produtos!$A$4:$A$103,0))&lt;&gt;"Ativo",TRUE),IFERROR(INDEX(Produtos!$L$4:$L$103,MATCH($C202,Produtos!$A$4:$A$103,0))&lt;&gt;"OK",TRUE),COUNTIF(Regras!$A$4:$A$103,$D202)&lt;&gt;1,IFERROR(INDEX(Regras!$O$4:$O$103,MATCH($D202,Regras!$A$4:$A$103,0))&lt;&gt;"Sim",TRUE),IFERROR(INDEX(Regras!$P$4:$P$103,MATCH($D202,Regras!$A$4:$A$103,0))&lt;&gt;"OK",TRUE),NOT(ISNUMBER($E202)),$E202&lt;=0,NOT(ISNUMBER($F202)),$F202&lt;0,$F202&gt;5,NOT(ISNUMBER($H202)),$H202&lt;0,$H202&lt;&gt;INT($H202),AND($G202&lt;&gt;"",OR(NOT(ISNUMBER($G202)),$G202&lt;=0))),"Revisar","Pronta")))</f>
        <v/>
      </c>
    </row>
    <row r="203">
      <c r="A203" s="16" t="n"/>
      <c r="B203" s="24" t="n"/>
      <c r="C203" s="16" t="n"/>
      <c r="D203" s="16" t="n"/>
      <c r="E203" s="17" t="n"/>
      <c r="F203" s="18" t="n"/>
      <c r="G203" s="17" t="n"/>
      <c r="H203" s="20" t="n"/>
      <c r="I203" s="16" t="n"/>
      <c r="J203" s="17" t="n"/>
      <c r="K203" s="25" t="n"/>
      <c r="L203" s="26">
        <f>IF($C203="","",IFERROR(INDEX(Produtos!$B$4:$B$103,MATCH($C203,Produtos!$A$4:$A$103,0)),""))</f>
        <v/>
      </c>
      <c r="M203" s="26">
        <f>IF($C203="","",IFERROR(INDEX(Produtos!$C$4:$C$103,MATCH($C203,Produtos!$A$4:$A$103,0)),""))</f>
        <v/>
      </c>
      <c r="N203" s="19">
        <f>IF($C203="","",IFERROR(INDEX(Produtos!$D$4:$D$103,MATCH($C203,Produtos!$A$4:$A$103,0)),""))</f>
        <v/>
      </c>
      <c r="O203" s="27">
        <f>IF($C203="","",IFERROR(INDEX(Produtos!$E$4:$E$103,MATCH($C203,Produtos!$A$4:$A$103,0)),""))</f>
        <v/>
      </c>
      <c r="P203" s="19">
        <f>IF($C203="","",IFERROR(INDEX(Produtos!$G$4:$G$103,MATCH($C203,Produtos!$A$4:$A$103,0)),""))</f>
        <v/>
      </c>
      <c r="Q203" s="19">
        <f>IF($C203="","",IFERROR(INDEX(Produtos!$H$4:$H$103,MATCH($C203,Produtos!$A$4:$A$103,0)),""))</f>
        <v/>
      </c>
      <c r="R203" s="19">
        <f>IF($C203="","",IFERROR(INDEX(Produtos!$I$4:$I$103,MATCH($C203,Produtos!$A$4:$A$103,0)),""))</f>
        <v/>
      </c>
      <c r="S203" s="28">
        <f>IF($C203="","",IFERROR(INDEX(Produtos!$J$4:$J$103,MATCH($C203,Produtos!$A$4:$A$103,0)),""))</f>
        <v/>
      </c>
      <c r="T203" s="27">
        <f>IF($AG203&lt;&gt;"Pronta","",IFERROR(IF($F203&lt;=INDEX(Regras!$C$4:$C$103,MATCH($D203,Regras!$A$4:$A$103,0)),INDEX(Regras!$E$4:$E$103,MATCH($D203,Regras!$A$4:$A$103,0)),IF($F203&gt;=INDEX(Regras!$D$4:$D$103,MATCH($D203,Regras!$A$4:$A$103,0)),INDEX(Regras!$F$4:$F$103,MATCH($D203,Regras!$A$4:$A$103,0)),0)),""))</f>
        <v/>
      </c>
      <c r="U203" s="27">
        <f>IF($AG203&lt;&gt;"Pronta","",IFERROR(IF($G203="",0,IF($G203&lt;=$E203*(1-INDEX(Regras!$G$4:$G$103,MATCH($D203,Regras!$A$4:$A$103,0))),INDEX(Regras!$H$4:$H$103,MATCH($D203,Regras!$A$4:$A$103,0)),IF($G203&gt;=$E203*(1+INDEX(Regras!$G$4:$G$103,MATCH($D203,Regras!$A$4:$A$103,0))),INDEX(Regras!$I$4:$I$103,MATCH($D203,Regras!$A$4:$A$103,0)),0))),""))</f>
        <v/>
      </c>
      <c r="V203" s="27">
        <f>IF($AG203&lt;&gt;"Pronta","",IFERROR(IF($H203/$S203&lt;=INDEX(Regras!$J$4:$J$103,MATCH($D203,Regras!$A$4:$A$103,0)),INDEX(Regras!$L$4:$L$103,MATCH($D203,Regras!$A$4:$A$103,0)),IF($H203/$S203&gt;=INDEX(Regras!$K$4:$K$103,MATCH($D203,Regras!$A$4:$A$103,0)),INDEX(Regras!$M$4:$M$103,MATCH($D203,Regras!$A$4:$A$103,0)),0)),""))</f>
        <v/>
      </c>
      <c r="W203" s="27">
        <f>IF($AG203&lt;&gt;"Pronta","",SUM($T203:$V203))</f>
        <v/>
      </c>
      <c r="X203" s="27">
        <f>IF($AG203&lt;&gt;"Pronta","",IFERROR(MAX(-INDEX(Regras!$N$4:$N$103,MATCH($D203,Regras!$A$4:$A$103,0)),MIN(INDEX(Regras!$N$4:$N$103,MATCH($D203,Regras!$A$4:$A$103,0)),$W203)),""))</f>
        <v/>
      </c>
      <c r="Y203" s="19">
        <f>IF($AG203&lt;&gt;"Pronta","",IFERROR(ROUND($E203*(1+$X203),2),""))</f>
        <v/>
      </c>
      <c r="Z203" s="29">
        <f>IF(OR($AG203&lt;&gt;"Pronta",$Q203="",$R203=""),"",IFERROR(ROUND(MIN($R203,MAX($Q203,$Y203)),2),""))</f>
        <v/>
      </c>
      <c r="AA203" s="27">
        <f>IF(OR($E203="",$Z203=""),"",IFERROR($Z203/$E203-1,""))</f>
        <v/>
      </c>
      <c r="AB203" s="26">
        <f>IF($Z203="","",IF($Y203&lt;$Q203,"Piso",IF($Y203&gt;$R203,"Teto","Nenhuma")))</f>
        <v/>
      </c>
      <c r="AC203" s="21">
        <f>IF($A203="","",IF($AG203&lt;&gt;"Pronta","Aguardando dados válidos",_xlfn.TEXTJOIN(" | ",TRUE,IF($T203&gt;0,"Demanda: aumento",IF($T203&lt;0,"Demanda: redução","")),IF($U203&gt;0,"Concorrência: aumento",IF($U203&lt;0,"Concorrência: redução","")),IF($V203&gt;0,"Estoque: aumento",IF($V203&lt;0,"Estoque: redução","")),IF(ABS($W203-$X203)&gt;0.0000001,"Limite da rodada aplicado",""),IF($AB203="Piso","Piso vigente aplicado",IF($AB203="Teto","Teto aplicado","")),IF(AND($T203=0,$U203=0,$V203=0),"Sem gatilho de reajuste",""))))</f>
        <v/>
      </c>
      <c r="AD203" s="21">
        <f>IF(OR($A203="",$AG203&lt;&gt;"Pronta"),"",_xlfn.TEXTJOIN(" | ",TRUE,IF($E203&lt;$Q203,"Preço atual abaixo do piso",""),IF($E203&gt;$R203,"Preço atual acima do teto",""),IF(AND($N203&gt;0,$E203&gt;0,1-$N203/$E203&lt;$O203),"Margem estimada do preço atual abaixo do mínimo",""),IF($G203="","Preço concorrente não informado",""),IF($AB203="Piso","Recomendação travada no piso",""),IF($AB203="Teto","Recomendação travada no teto","")))</f>
        <v/>
      </c>
      <c r="AE203" s="19">
        <f>IF($AG203&lt;&gt;"Pronta","",IF($I203="Aprovar recomendação",$Z203,IF($I203="Manter preço atual",$E203,IF($I203="Definir manualmente",$J203,""))))</f>
        <v/>
      </c>
      <c r="AF203" s="21">
        <f>IF($A203="","",IF($AG203&lt;&gt;"Pronta","Aguardando correção",IF(OR($I203="",$I203="Pendente"),"Decisão pendente",IF(AND($I203="Definir manualmente",OR($J203="",$J203&lt;=0)),"Informe o preço manual",IF(OR($AE203&lt;$Q203,$AE203&gt;$R203),"Preço final fora do piso/teto","OK")))))</f>
        <v/>
      </c>
      <c r="AG203" s="26">
        <f>IF(COUNTA($A203:$K203)=0,"",IF(OR($A203="",$B203="",$C203="",$D203="",$E203="",$F203="",$H203=""),"Incompleta",IF(OR(COUNTIF($A$5:$A$204,$A203)&gt;1,NOT(ISNUMBER($B203)),COUNTIF(Produtos!$A$4:$A$103,$C203)&lt;&gt;1,IFERROR(INDEX(Produtos!$K$4:$K$103,MATCH($C203,Produtos!$A$4:$A$103,0))&lt;&gt;"Ativo",TRUE),IFERROR(INDEX(Produtos!$L$4:$L$103,MATCH($C203,Produtos!$A$4:$A$103,0))&lt;&gt;"OK",TRUE),COUNTIF(Regras!$A$4:$A$103,$D203)&lt;&gt;1,IFERROR(INDEX(Regras!$O$4:$O$103,MATCH($D203,Regras!$A$4:$A$103,0))&lt;&gt;"Sim",TRUE),IFERROR(INDEX(Regras!$P$4:$P$103,MATCH($D203,Regras!$A$4:$A$103,0))&lt;&gt;"OK",TRUE),NOT(ISNUMBER($E203)),$E203&lt;=0,NOT(ISNUMBER($F203)),$F203&lt;0,$F203&gt;5,NOT(ISNUMBER($H203)),$H203&lt;0,$H203&lt;&gt;INT($H203),AND($G203&lt;&gt;"",OR(NOT(ISNUMBER($G203)),$G203&lt;=0))),"Revisar","Pronta")))</f>
        <v/>
      </c>
    </row>
    <row r="204">
      <c r="A204" s="16" t="n"/>
      <c r="B204" s="24" t="n"/>
      <c r="C204" s="16" t="n"/>
      <c r="D204" s="16" t="n"/>
      <c r="E204" s="17" t="n"/>
      <c r="F204" s="18" t="n"/>
      <c r="G204" s="17" t="n"/>
      <c r="H204" s="20" t="n"/>
      <c r="I204" s="16" t="n"/>
      <c r="J204" s="17" t="n"/>
      <c r="K204" s="25" t="n"/>
      <c r="L204" s="26">
        <f>IF($C204="","",IFERROR(INDEX(Produtos!$B$4:$B$103,MATCH($C204,Produtos!$A$4:$A$103,0)),""))</f>
        <v/>
      </c>
      <c r="M204" s="26">
        <f>IF($C204="","",IFERROR(INDEX(Produtos!$C$4:$C$103,MATCH($C204,Produtos!$A$4:$A$103,0)),""))</f>
        <v/>
      </c>
      <c r="N204" s="19">
        <f>IF($C204="","",IFERROR(INDEX(Produtos!$D$4:$D$103,MATCH($C204,Produtos!$A$4:$A$103,0)),""))</f>
        <v/>
      </c>
      <c r="O204" s="27">
        <f>IF($C204="","",IFERROR(INDEX(Produtos!$E$4:$E$103,MATCH($C204,Produtos!$A$4:$A$103,0)),""))</f>
        <v/>
      </c>
      <c r="P204" s="19">
        <f>IF($C204="","",IFERROR(INDEX(Produtos!$G$4:$G$103,MATCH($C204,Produtos!$A$4:$A$103,0)),""))</f>
        <v/>
      </c>
      <c r="Q204" s="19">
        <f>IF($C204="","",IFERROR(INDEX(Produtos!$H$4:$H$103,MATCH($C204,Produtos!$A$4:$A$103,0)),""))</f>
        <v/>
      </c>
      <c r="R204" s="19">
        <f>IF($C204="","",IFERROR(INDEX(Produtos!$I$4:$I$103,MATCH($C204,Produtos!$A$4:$A$103,0)),""))</f>
        <v/>
      </c>
      <c r="S204" s="28">
        <f>IF($C204="","",IFERROR(INDEX(Produtos!$J$4:$J$103,MATCH($C204,Produtos!$A$4:$A$103,0)),""))</f>
        <v/>
      </c>
      <c r="T204" s="27">
        <f>IF($AG204&lt;&gt;"Pronta","",IFERROR(IF($F204&lt;=INDEX(Regras!$C$4:$C$103,MATCH($D204,Regras!$A$4:$A$103,0)),INDEX(Regras!$E$4:$E$103,MATCH($D204,Regras!$A$4:$A$103,0)),IF($F204&gt;=INDEX(Regras!$D$4:$D$103,MATCH($D204,Regras!$A$4:$A$103,0)),INDEX(Regras!$F$4:$F$103,MATCH($D204,Regras!$A$4:$A$103,0)),0)),""))</f>
        <v/>
      </c>
      <c r="U204" s="27">
        <f>IF($AG204&lt;&gt;"Pronta","",IFERROR(IF($G204="",0,IF($G204&lt;=$E204*(1-INDEX(Regras!$G$4:$G$103,MATCH($D204,Regras!$A$4:$A$103,0))),INDEX(Regras!$H$4:$H$103,MATCH($D204,Regras!$A$4:$A$103,0)),IF($G204&gt;=$E204*(1+INDEX(Regras!$G$4:$G$103,MATCH($D204,Regras!$A$4:$A$103,0))),INDEX(Regras!$I$4:$I$103,MATCH($D204,Regras!$A$4:$A$103,0)),0))),""))</f>
        <v/>
      </c>
      <c r="V204" s="27">
        <f>IF($AG204&lt;&gt;"Pronta","",IFERROR(IF($H204/$S204&lt;=INDEX(Regras!$J$4:$J$103,MATCH($D204,Regras!$A$4:$A$103,0)),INDEX(Regras!$L$4:$L$103,MATCH($D204,Regras!$A$4:$A$103,0)),IF($H204/$S204&gt;=INDEX(Regras!$K$4:$K$103,MATCH($D204,Regras!$A$4:$A$103,0)),INDEX(Regras!$M$4:$M$103,MATCH($D204,Regras!$A$4:$A$103,0)),0)),""))</f>
        <v/>
      </c>
      <c r="W204" s="27">
        <f>IF($AG204&lt;&gt;"Pronta","",SUM($T204:$V204))</f>
        <v/>
      </c>
      <c r="X204" s="27">
        <f>IF($AG204&lt;&gt;"Pronta","",IFERROR(MAX(-INDEX(Regras!$N$4:$N$103,MATCH($D204,Regras!$A$4:$A$103,0)),MIN(INDEX(Regras!$N$4:$N$103,MATCH($D204,Regras!$A$4:$A$103,0)),$W204)),""))</f>
        <v/>
      </c>
      <c r="Y204" s="19">
        <f>IF($AG204&lt;&gt;"Pronta","",IFERROR(ROUND($E204*(1+$X204),2),""))</f>
        <v/>
      </c>
      <c r="Z204" s="29">
        <f>IF(OR($AG204&lt;&gt;"Pronta",$Q204="",$R204=""),"",IFERROR(ROUND(MIN($R204,MAX($Q204,$Y204)),2),""))</f>
        <v/>
      </c>
      <c r="AA204" s="27">
        <f>IF(OR($E204="",$Z204=""),"",IFERROR($Z204/$E204-1,""))</f>
        <v/>
      </c>
      <c r="AB204" s="26">
        <f>IF($Z204="","",IF($Y204&lt;$Q204,"Piso",IF($Y204&gt;$R204,"Teto","Nenhuma")))</f>
        <v/>
      </c>
      <c r="AC204" s="21">
        <f>IF($A204="","",IF($AG204&lt;&gt;"Pronta","Aguardando dados válidos",_xlfn.TEXTJOIN(" | ",TRUE,IF($T204&gt;0,"Demanda: aumento",IF($T204&lt;0,"Demanda: redução","")),IF($U204&gt;0,"Concorrência: aumento",IF($U204&lt;0,"Concorrência: redução","")),IF($V204&gt;0,"Estoque: aumento",IF($V204&lt;0,"Estoque: redução","")),IF(ABS($W204-$X204)&gt;0.0000001,"Limite da rodada aplicado",""),IF($AB204="Piso","Piso vigente aplicado",IF($AB204="Teto","Teto aplicado","")),IF(AND($T204=0,$U204=0,$V204=0),"Sem gatilho de reajuste",""))))</f>
        <v/>
      </c>
      <c r="AD204" s="21">
        <f>IF(OR($A204="",$AG204&lt;&gt;"Pronta"),"",_xlfn.TEXTJOIN(" | ",TRUE,IF($E204&lt;$Q204,"Preço atual abaixo do piso",""),IF($E204&gt;$R204,"Preço atual acima do teto",""),IF(AND($N204&gt;0,$E204&gt;0,1-$N204/$E204&lt;$O204),"Margem estimada do preço atual abaixo do mínimo",""),IF($G204="","Preço concorrente não informado",""),IF($AB204="Piso","Recomendação travada no piso",""),IF($AB204="Teto","Recomendação travada no teto","")))</f>
        <v/>
      </c>
      <c r="AE204" s="19">
        <f>IF($AG204&lt;&gt;"Pronta","",IF($I204="Aprovar recomendação",$Z204,IF($I204="Manter preço atual",$E204,IF($I204="Definir manualmente",$J204,""))))</f>
        <v/>
      </c>
      <c r="AF204" s="21">
        <f>IF($A204="","",IF($AG204&lt;&gt;"Pronta","Aguardando correção",IF(OR($I204="",$I204="Pendente"),"Decisão pendente",IF(AND($I204="Definir manualmente",OR($J204="",$J204&lt;=0)),"Informe o preço manual",IF(OR($AE204&lt;$Q204,$AE204&gt;$R204),"Preço final fora do piso/teto","OK")))))</f>
        <v/>
      </c>
      <c r="AG204" s="26">
        <f>IF(COUNTA($A204:$K204)=0,"",IF(OR($A204="",$B204="",$C204="",$D204="",$E204="",$F204="",$H204=""),"Incompleta",IF(OR(COUNTIF($A$5:$A$204,$A204)&gt;1,NOT(ISNUMBER($B204)),COUNTIF(Produtos!$A$4:$A$103,$C204)&lt;&gt;1,IFERROR(INDEX(Produtos!$K$4:$K$103,MATCH($C204,Produtos!$A$4:$A$103,0))&lt;&gt;"Ativo",TRUE),IFERROR(INDEX(Produtos!$L$4:$L$103,MATCH($C204,Produtos!$A$4:$A$103,0))&lt;&gt;"OK",TRUE),COUNTIF(Regras!$A$4:$A$103,$D204)&lt;&gt;1,IFERROR(INDEX(Regras!$O$4:$O$103,MATCH($D204,Regras!$A$4:$A$103,0))&lt;&gt;"Sim",TRUE),IFERROR(INDEX(Regras!$P$4:$P$103,MATCH($D204,Regras!$A$4:$A$103,0))&lt;&gt;"OK",TRUE),NOT(ISNUMBER($E204)),$E204&lt;=0,NOT(ISNUMBER($F204)),$F204&lt;0,$F204&gt;5,NOT(ISNUMBER($H204)),$H204&lt;0,$H204&lt;&gt;INT($H204),AND($G204&lt;&gt;"",OR(NOT(ISNUMBER($G204)),$G204&lt;=0))),"Revisar","Pronta")))</f>
        <v/>
      </c>
    </row>
  </sheetData>
  <mergeCells count="1">
    <mergeCell ref="A1:AG1"/>
  </mergeCells>
  <conditionalFormatting sqref="A5:A204">
    <cfRule type="expression" priority="1" dxfId="1">
      <formula>=AND($A5&lt;&gt;"",COUNTIF($A$5:$A$204,$A5)&gt;1)</formula>
    </cfRule>
  </conditionalFormatting>
  <conditionalFormatting sqref="E5:E204">
    <cfRule type="expression" priority="2" dxfId="1">
      <formula>=AND($E5&lt;&gt;"",$Q5&lt;&gt;"",$R5&lt;&gt;"",OR($E5&lt;$Q5,$E5&gt;$R5))</formula>
    </cfRule>
  </conditionalFormatting>
  <conditionalFormatting sqref="J5:J204">
    <cfRule type="expression" priority="3" dxfId="1">
      <formula>=AND($I5="Definir manualmente",$J5="")</formula>
    </cfRule>
  </conditionalFormatting>
  <conditionalFormatting sqref="AA5:AA204">
    <cfRule type="expression" priority="4" dxfId="0">
      <formula>=AND($AA5&lt;&gt;"",$AA5&gt;0.000001)</formula>
    </cfRule>
    <cfRule type="expression" priority="5" dxfId="1">
      <formula>=AND($AA5&lt;&gt;"",$AA5&lt;-0.000001)</formula>
    </cfRule>
    <cfRule type="expression" priority="6" dxfId="2">
      <formula>=AND($AA5&lt;&gt;"",ABS($AA5)&lt;=0.000001)</formula>
    </cfRule>
  </conditionalFormatting>
  <conditionalFormatting sqref="AB5:AB204">
    <cfRule type="expression" priority="7" dxfId="3">
      <formula>=OR($AB5="Piso",$AB5="Teto")</formula>
    </cfRule>
  </conditionalFormatting>
  <conditionalFormatting sqref="AD5:AD204">
    <cfRule type="expression" priority="8" dxfId="3">
      <formula>=$AD5&lt;&gt;""</formula>
    </cfRule>
  </conditionalFormatting>
  <conditionalFormatting sqref="AF5:AF204">
    <cfRule type="expression" priority="9" dxfId="0">
      <formula>=$AF5="OK"</formula>
    </cfRule>
    <cfRule type="expression" priority="10" dxfId="3">
      <formula>=$AF5="Decisão pendente"</formula>
    </cfRule>
    <cfRule type="expression" priority="11" dxfId="1">
      <formula>=AND($AF5&lt;&gt;"",$AF5&lt;&gt;"OK",$AF5&lt;&gt;"Decisão pendente")</formula>
    </cfRule>
  </conditionalFormatting>
  <conditionalFormatting sqref="AG5:AG204">
    <cfRule type="expression" priority="12" dxfId="0">
      <formula>=$AG5="Pronta"</formula>
    </cfRule>
    <cfRule type="expression" priority="13" dxfId="3">
      <formula>=$AG5="Incompleta"</formula>
    </cfRule>
    <cfRule type="expression" priority="14" dxfId="1">
      <formula>=$AG5="Revisar"</formula>
    </cfRule>
  </conditionalFormatting>
  <dataValidations count="11">
    <dataValidation sqref="A5:A204" showDropDown="0" showInputMessage="0" showErrorMessage="1" allowBlank="0" errorTitle="ID duplicado" error="O ID da rodada deve ser único." type="custom">
      <formula1>=OR($A5="",COUNTIF($A$5:$A$204,$A5)=1)</formula1>
    </dataValidation>
    <dataValidation sqref="B5:B204" showDropDown="0" showInputMessage="0" showErrorMessage="1" allowBlank="0" errorTitle="Data inválida" error="Informe uma data entre 01/01/2024 e 31/12/2099." type="date" operator="between">
      <formula1>DATE(2024,1,1)</formula1>
      <formula2>DATE(2099,12,31)</formula2>
    </dataValidation>
    <dataValidation sqref="C5:C204" showDropDown="0" showInputMessage="0" showErrorMessage="1" allowBlank="0" errorTitle="SKU inválido" error="Selecione um SKU cadastrado." type="list">
      <formula1>=INDIRECT("Produtos!$A$4:$A$103")</formula1>
    </dataValidation>
    <dataValidation sqref="D5:D204" showDropDown="0" showInputMessage="0" showErrorMessage="1" allowBlank="0" errorTitle="Regra inválida" error="Selecione uma regra cadastrada." type="list">
      <formula1>=INDIRECT("Regras!$A$4:$A$103")</formula1>
    </dataValidation>
    <dataValidation sqref="E5:E204" showDropDown="0" showInputMessage="0" showErrorMessage="1" allowBlank="0" errorTitle="Preço inválido" error="Informe um preço maior que zero." type="decimal" operator="greaterThan">
      <formula1>0</formula1>
    </dataValidation>
    <dataValidation sqref="F5:F204" showDropDown="0" showInputMessage="0" showErrorMessage="1" allowBlank="0" errorTitle="Demanda inválida" error="Informe um índice entre 0% e 500%." type="decimal" operator="between">
      <formula1>0</formula1>
      <formula2>5</formula2>
    </dataValidation>
    <dataValidation sqref="G5:G204" showDropDown="0" showInputMessage="0" showErrorMessage="1" allowBlank="0" errorTitle="Preço concorrente inválido" error="Informe um preço maior que zero ou deixe vazio." type="custom">
      <formula1>=OR(G5="",AND(ISNUMBER(G5),G5&gt;0))</formula1>
    </dataValidation>
    <dataValidation sqref="H5:H204" showDropDown="0" showInputMessage="0" showErrorMessage="1" allowBlank="0" errorTitle="Estoque inválido" error="Informe uma quantidade inteira entre 0 e 1.000.000.000." type="whole" operator="between">
      <formula1>0</formula1>
      <formula2>1000000000</formula2>
    </dataValidation>
    <dataValidation sqref="I5:I204" showDropDown="0" showInputMessage="0" showErrorMessage="1" allowBlank="0" errorTitle="Decisão inválida" error="Selecione uma decisão válida." type="list">
      <formula1>"Pendente,Aprovar recomendação,Manter preço atual,Definir manualmente"</formula1>
    </dataValidation>
    <dataValidation sqref="J5:J204" showDropDown="0" showInputMessage="0" showErrorMessage="1" allowBlank="0" errorTitle="Preço manual inválido" error="Informe um preço maior que zero ou deixe vazio." type="custom">
      <formula1>=OR(J5="",AND(ISNUMBER(J5),J5&gt;0))</formula1>
    </dataValidation>
    <dataValidation sqref="K5:K204" showDropDown="0" showInputMessage="0" showErrorMessage="1" allowBlank="0" errorTitle="Texto muito longo" error="A observação deve ter no máximo 250 caracteres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7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Como usar a planilha</t>
        </is>
      </c>
    </row>
    <row r="2"/>
    <row r="3" ht="48" customHeight="1">
      <c r="A3" s="22" t="inlineStr">
        <is>
          <t>Objetivo</t>
        </is>
      </c>
      <c r="B3" s="30" t="inlineStr">
        <is>
          <t>Esta planilha recomenda reajustes por rodada com base em demanda, concorrência e estoque, respeitando o limite da regra, o piso vigente e o teto do produto.</t>
        </is>
      </c>
    </row>
    <row r="4"/>
    <row r="5">
      <c r="A5" s="22" t="inlineStr">
        <is>
          <t>Fluxo de uso</t>
        </is>
      </c>
    </row>
    <row r="6" ht="28" customHeight="1">
      <c r="A6" s="31" t="inlineStr">
        <is>
          <t>1.</t>
        </is>
      </c>
      <c r="B6" s="30" t="inlineStr">
        <is>
          <t>Revise ou cadastre os produtos na aba Produtos.</t>
        </is>
      </c>
    </row>
    <row r="7" ht="28" customHeight="1">
      <c r="A7" s="32" t="inlineStr">
        <is>
          <t>2.</t>
        </is>
      </c>
      <c r="B7" s="33" t="inlineStr">
        <is>
          <t>Confirme custo unitário, margem mínima, piso, teto e estoque-alvo.</t>
        </is>
      </c>
    </row>
    <row r="8" ht="28" customHeight="1">
      <c r="A8" s="31" t="inlineStr">
        <is>
          <t>3.</t>
        </is>
      </c>
      <c r="B8" s="30" t="inlineStr">
        <is>
          <t>Revise os gatilhos e limites na aba Regras.</t>
        </is>
      </c>
    </row>
    <row r="9" ht="28" customHeight="1">
      <c r="A9" s="32" t="inlineStr">
        <is>
          <t>4.</t>
        </is>
      </c>
      <c r="B9" s="33" t="inlineStr">
        <is>
          <t>Registre cada nova avaliação em uma linha da aba Rodadas.</t>
        </is>
      </c>
    </row>
    <row r="10" ht="28" customHeight="1">
      <c r="A10" s="31" t="inlineStr">
        <is>
          <t>5.</t>
        </is>
      </c>
      <c r="B10" s="30" t="inlineStr">
        <is>
          <t>Analise preço recomendado, motivo, trava e alertas.</t>
        </is>
      </c>
    </row>
    <row r="11" ht="28" customHeight="1">
      <c r="A11" s="32" t="inlineStr">
        <is>
          <t>6.</t>
        </is>
      </c>
      <c r="B11" s="33" t="inlineStr">
        <is>
          <t>Escolha uma decisão e, quando necessário, informe um preço manual.</t>
        </is>
      </c>
    </row>
    <row r="12" ht="28" customHeight="1">
      <c r="A12" s="31" t="inlineStr">
        <is>
          <t>7.</t>
        </is>
      </c>
      <c r="B12" s="30" t="inlineStr">
        <is>
          <t>Use o Resumo para acompanhar as rodadas e o histórico por SKU.</t>
        </is>
      </c>
    </row>
    <row r="13"/>
    <row r="14">
      <c r="A14" s="22" t="inlineStr">
        <is>
          <t>Definições</t>
        </is>
      </c>
    </row>
    <row r="15" ht="30" customHeight="1">
      <c r="A15" s="34" t="inlineStr">
        <is>
          <t>Índice de demanda</t>
        </is>
      </c>
      <c r="B15" s="33" t="inlineStr">
        <is>
          <t>100% representa o nível normal definido pela operação.</t>
        </is>
      </c>
    </row>
    <row r="16" ht="30" customHeight="1">
      <c r="A16" s="35" t="inlineStr">
        <is>
          <t>Estoque baixo ou alto</t>
        </is>
      </c>
      <c r="B16" s="30" t="inlineStr">
        <is>
          <t>Comparação entre estoque disponível e estoque-alvo.</t>
        </is>
      </c>
    </row>
    <row r="17" ht="30" customHeight="1">
      <c r="A17" s="34" t="inlineStr">
        <is>
          <t>Concorrente mais barato</t>
        </is>
      </c>
      <c r="B17" s="33" t="inlineStr">
        <is>
          <t>Preço concorrente abaixo do preço atual pela diferença mínima da regra.</t>
        </is>
      </c>
    </row>
    <row r="18" ht="30" customHeight="1">
      <c r="A18" s="35" t="inlineStr">
        <is>
          <t>Piso por margem</t>
        </is>
      </c>
      <c r="B18" s="30" t="inlineStr">
        <is>
          <t>Custo unitário dividido por um menos a margem mínima.</t>
        </is>
      </c>
    </row>
    <row r="19" ht="30" customHeight="1">
      <c r="A19" s="34" t="inlineStr">
        <is>
          <t>Piso vigente</t>
        </is>
      </c>
      <c r="B19" s="33" t="inlineStr">
        <is>
          <t>Maior valor entre piso manual e piso por margem.</t>
        </is>
      </c>
    </row>
    <row r="20" ht="30" customHeight="1">
      <c r="A20" s="35" t="inlineStr">
        <is>
          <t>Preço sem trava</t>
        </is>
      </c>
      <c r="B20" s="30" t="inlineStr">
        <is>
          <t>Preço atual após o ajuste limitado da regra.</t>
        </is>
      </c>
    </row>
    <row r="21" ht="30" customHeight="1">
      <c r="A21" s="34" t="inlineStr">
        <is>
          <t>Preço recomendado</t>
        </is>
      </c>
      <c r="B21" s="33" t="inlineStr">
        <is>
          <t>Preço sem trava limitado pelo piso e pelo teto.</t>
        </is>
      </c>
    </row>
    <row r="22"/>
    <row r="23">
      <c r="A23" s="22" t="inlineStr">
        <is>
          <t>Cuidados</t>
        </is>
      </c>
    </row>
    <row r="24" ht="30" customHeight="1">
      <c r="A24" s="36" t="inlineStr">
        <is>
          <t>•</t>
        </is>
      </c>
      <c r="B24" s="30" t="inlineStr">
        <is>
          <t>Preço concorrente vazio gera ajuste zero para concorrência e um alerta.</t>
        </is>
      </c>
    </row>
    <row r="25" ht="30" customHeight="1">
      <c r="A25" s="37" t="inlineStr">
        <is>
          <t>•</t>
        </is>
      </c>
      <c r="B25" s="33" t="inlineStr">
        <is>
          <t>Linhas incompletas ou com cadastros inválidos não devem gerar recomendação.</t>
        </is>
      </c>
    </row>
    <row r="26" ht="30" customHeight="1">
      <c r="A26" s="36" t="inlineStr">
        <is>
          <t>•</t>
        </is>
      </c>
      <c r="B26" s="30" t="inlineStr">
        <is>
          <t>O preço manual deve permanecer entre o piso vigente e o teto.</t>
        </is>
      </c>
    </row>
    <row r="27" ht="30" customHeight="1">
      <c r="A27" s="37" t="inlineStr">
        <is>
          <t>•</t>
        </is>
      </c>
      <c r="B27" s="33" t="inlineStr">
        <is>
          <t>As regras e os exemplos fornecidos são fictícios e devem ser revisados pela operação.</t>
        </is>
      </c>
    </row>
    <row r="28" ht="30" customHeight="1">
      <c r="A28" s="36" t="inlineStr">
        <is>
          <t>•</t>
        </is>
      </c>
      <c r="B28" s="30" t="inlineStr">
        <is>
          <t>Não edite as colunas calculadas.</t>
        </is>
      </c>
    </row>
    <row r="29" ht="30" customHeight="1">
      <c r="A29" s="37" t="inlineStr">
        <is>
          <t>•</t>
        </is>
      </c>
      <c r="B29" s="33" t="inlineStr">
        <is>
          <t>A planilha não atualiza preços em plataformas e não possui conexões externas.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2026-09-06T17:31:22Z</dcterms:created>
  <dcterms:modified xmlns:dcterms="http://purl.org/dc/terms/" xmlns:xsi="http://www.w3.org/2001/XMLSchema-instance" xsi:type="dcterms:W3CDTF">2026-09-06T17:31:23+00:00Z</dcterms:modified>
</cp:coreProperties>
</file>